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Übersicht" sheetId="1" state="visible" r:id="rId2"/>
    <sheet name="Ausschütter" sheetId="2" state="visible" r:id="rId3"/>
    <sheet name="Thesaurierer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<sst xmlns="http://schemas.openxmlformats.org/spreadsheetml/2006/main" count="74" uniqueCount="40">
  <si>
    <t xml:space="preserve">Grundeinstellungen</t>
  </si>
  <si>
    <t xml:space="preserve">Ergebnis</t>
  </si>
  <si>
    <t xml:space="preserve">Startwert Depot [€]</t>
  </si>
  <si>
    <t xml:space="preserve">Ausschütter</t>
  </si>
  <si>
    <t xml:space="preserve">Thesaurierer</t>
  </si>
  <si>
    <t xml:space="preserve">Absolute Differenz</t>
  </si>
  <si>
    <t xml:space="preserve">Prozentual</t>
  </si>
  <si>
    <t xml:space="preserve">Sparrate p.a. [€]</t>
  </si>
  <si>
    <t xml:space="preserve">Depotwert [€]</t>
  </si>
  <si>
    <t xml:space="preserve">Rendite p.a. [%]</t>
  </si>
  <si>
    <t xml:space="preserve">zu vst. Gewinn [€]</t>
  </si>
  <si>
    <t xml:space="preserve">Ausschüttungsrendite p.a. [%]</t>
  </si>
  <si>
    <t xml:space="preserve">Steuer [€]</t>
  </si>
  <si>
    <t xml:space="preserve">Steuer [%]</t>
  </si>
  <si>
    <t xml:space="preserve">Verrechnungskonto [€]</t>
  </si>
  <si>
    <t xml:space="preserve">Basiszins [%]</t>
  </si>
  <si>
    <t xml:space="preserve">Rendite p.a. [%] nach Steuern</t>
  </si>
  <si>
    <t xml:space="preserve">Teilfreistellung [%]</t>
  </si>
  <si>
    <t xml:space="preserve">Freibetrag [€]</t>
  </si>
  <si>
    <t xml:space="preserve">Anlagehorizont [Jahre]</t>
  </si>
  <si>
    <t xml:space="preserve">Für einzelne Jahre kann eine abweichende Rendite angegeben werden als in den Grundeinstellungen!</t>
  </si>
  <si>
    <t xml:space="preserve">Jahr</t>
  </si>
  <si>
    <t xml:space="preserve">Rendite [%]</t>
  </si>
  <si>
    <t xml:space="preserve">Investiert
inkl. Ausschüttungen</t>
  </si>
  <si>
    <t xml:space="preserve">Depotwert</t>
  </si>
  <si>
    <t xml:space="preserve">Einlage</t>
  </si>
  <si>
    <t xml:space="preserve">Depot inkl. Rendite</t>
  </si>
  <si>
    <t xml:space="preserve">Wertentwicklung</t>
  </si>
  <si>
    <t xml:space="preserve">Obergrenze
Vorabpauschale</t>
  </si>
  <si>
    <t xml:space="preserve">Ausschüttung</t>
  </si>
  <si>
    <t xml:space="preserve">Vorabpauschale</t>
  </si>
  <si>
    <t xml:space="preserve">Zu verrechnende Vorabpauschale</t>
  </si>
  <si>
    <t xml:space="preserve">Steuern
Vorabpauschale</t>
  </si>
  <si>
    <t xml:space="preserve">Steuern
Ausschüttungen</t>
  </si>
  <si>
    <t xml:space="preserve">Wiederanlegbar</t>
  </si>
  <si>
    <t xml:space="preserve">Investiert</t>
  </si>
  <si>
    <t xml:space="preserve">Depot inkl. Steigerung</t>
  </si>
  <si>
    <t xml:space="preserve">Basisertrag</t>
  </si>
  <si>
    <t xml:space="preserve">Steuer</t>
  </si>
  <si>
    <t xml:space="preserve">Zu verrechnende
Vorabpauschale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</si>
</sst>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#,##0"/>
    <numFmt numFmtId="167" formatCode="0.00\ %"/>
    <numFmt numFmtId="168" formatCode="0.0%"/>
    <numFmt numFmtId="169" formatCode="0.000%"/>
    <numFmt numFmtId="170" formatCode="0\ %"/>
    <numFmt numFmtId="171" formatCode="0"/>
    <numFmt numFmtId="172" formatCode="#,##0.00"/>
    <numFmt numFmtId="173" formatCode="#,##0.0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Verdana"/>
      <family val="2"/>
      <charset val="1"/>
    </font>
    <font>
      <sz val="11"/>
      <color rgb="FFFFFFFF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C000"/>
        <bgColor rgb="FFFF990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D0CECE"/>
      </patternFill>
    </fill>
    <fill>
      <patternFill patternType="solid">
        <fgColor rgb="FFBFBFBF"/>
        <bgColor rgb="FFD0CECE"/>
      </patternFill>
    </fill>
    <fill>
      <patternFill patternType="solid">
        <fgColor rgb="FFA6A6A6"/>
        <bgColor rgb="FFBFBFBF"/>
      </patternFill>
    </fill>
    <fill>
      <patternFill patternType="solid">
        <fgColor rgb="FF808080"/>
        <bgColor rgb="FF666699"/>
      </patternFill>
    </fill>
    <fill>
      <patternFill patternType="solid">
        <fgColor rgb="FFD0CECE"/>
        <bgColor rgb="FFD9D9D9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2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2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2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2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2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7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8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4" borderId="3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3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6" borderId="3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7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3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8" borderId="3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4" borderId="3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3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6" borderId="3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7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3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8" borderId="3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4" borderId="3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3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6" borderId="3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7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3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8" borderId="3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4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8"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ont>
        <color rgb="FF00000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70C0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K37"/>
  <sheetViews>
    <sheetView showFormulas="false" showGridLines="false" showRowColHeaders="fals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I2" activeCellId="0" sqref="I2"/>
    </sheetView>
  </sheetViews>
  <sheetFormatPr defaultColWidth="10.4609375" defaultRowHeight="15" zeroHeight="false" outlineLevelRow="0" outlineLevelCol="0"/>
  <cols>
    <col collapsed="false" customWidth="true" hidden="false" outlineLevel="0" max="2" min="2" style="0" width="28.86"/>
    <col collapsed="false" customWidth="true" hidden="false" outlineLevel="0" max="3" min="3" style="0" width="17"/>
    <col collapsed="false" customWidth="true" hidden="false" outlineLevel="0" max="4" min="4" style="0" width="9"/>
    <col collapsed="false" customWidth="true" hidden="false" outlineLevel="0" max="5" min="5" style="0" width="28.57"/>
    <col collapsed="false" customWidth="true" hidden="false" outlineLevel="0" max="6" min="6" style="0" width="11.86"/>
    <col collapsed="false" customWidth="true" hidden="false" outlineLevel="0" max="7" min="7" style="0" width="12.86"/>
    <col collapsed="false" customWidth="true" hidden="false" outlineLevel="0" max="8" min="8" style="0" width="19.71"/>
    <col collapsed="false" customWidth="true" hidden="false" outlineLevel="0" max="9" min="9" style="0" width="11.71"/>
    <col collapsed="false" customWidth="true" hidden="false" outlineLevel="0" max="10" min="10" style="0" width="18.42"/>
    <col collapsed="false" customWidth="true" hidden="false" outlineLevel="0" max="11" min="11" style="0" width="17.71"/>
  </cols>
  <sheetData>
    <row r="1" customFormat="false" ht="15" hidden="false" customHeight="false" outlineLevel="0" collapsed="false">
      <c r="B1" s="1"/>
      <c r="C1" s="2"/>
    </row>
    <row r="2" customFormat="false" ht="78.75" hidden="false" customHeight="true" outlineLevel="0" collapsed="false">
      <c r="B2" s="3" t="str">
        <f aca="false">"ACHTUNG THESAURIERER! EINLAGEN REICHEN NICHT AUS UM STEUERN ZU DECKEN!"&amp;CHAR(10)&amp;"NEGATIVE EINLAGEN AB JAHR "&amp;IFERROR(MATCH(1,INDEX((Thesaurierer!$E$3:$E$102&lt;0)*1,0),0),0)&amp;"!"&amp;CHAR(10)&amp;"ERGEBNISSE SIND SOMIT NICHT VERGLEICHBAR!"</f>
        <v>ACHTUNG THESAURIERER! EINLAGEN REICHEN NICHT AUS UM STEUERN ZU DECKEN!
NEGATIVE EINLAGEN AB JAHR 70!
ERGEBNISSE SIND SOMIT NICHT VERGLEICHBAR!</v>
      </c>
      <c r="C2" s="3"/>
      <c r="D2" s="4"/>
      <c r="E2" s="3" t="str">
        <f aca="false">"ACHTUNG AUSSCHÜTTER! EINLAGEN REICHEN NICHT AUS UM STEUERN ZU DECKEN!"&amp;CHAR(10)&amp;"NEGATIVE EINLAGEN AB JAHR "&amp;IFERROR(MATCH(1,INDEX((Ausschütter!$E$3:$E$102&lt;0)*1,0),0),0)&amp;"!"&amp;CHAR(10)&amp;"ERGEBNISSE SIND SOMIT NICHT VERGLEICHBAR!"</f>
        <v>ACHTUNG AUSSCHÜTTER! EINLAGEN REICHEN NICHT AUS UM STEUERN ZU DECKEN!
NEGATIVE EINLAGEN AB JAHR 0!
ERGEBNISSE SIND SOMIT NICHT VERGLEICHBAR!</v>
      </c>
      <c r="F2" s="3"/>
    </row>
    <row r="3" customFormat="false" ht="15.75" hidden="false" customHeight="false" outlineLevel="0" collapsed="false"/>
    <row r="4" customFormat="false" ht="19.5" hidden="false" customHeight="false" outlineLevel="0" collapsed="false">
      <c r="B4" s="5" t="s">
        <v>0</v>
      </c>
      <c r="C4" s="5"/>
      <c r="E4" s="6" t="s">
        <v>1</v>
      </c>
      <c r="F4" s="6"/>
      <c r="G4" s="6"/>
      <c r="H4" s="6"/>
      <c r="I4" s="6"/>
    </row>
    <row r="5" customFormat="false" ht="15.75" hidden="false" customHeight="false" outlineLevel="0" collapsed="false">
      <c r="B5" s="7" t="s">
        <v>2</v>
      </c>
      <c r="C5" s="8" t="n">
        <v>5000</v>
      </c>
      <c r="E5" s="9"/>
      <c r="F5" s="10" t="s">
        <v>3</v>
      </c>
      <c r="G5" s="11" t="s">
        <v>4</v>
      </c>
      <c r="H5" s="12" t="s">
        <v>5</v>
      </c>
      <c r="I5" s="13" t="s">
        <v>6</v>
      </c>
    </row>
    <row r="6" customFormat="false" ht="15" hidden="false" customHeight="false" outlineLevel="0" collapsed="false">
      <c r="B6" s="14" t="s">
        <v>7</v>
      </c>
      <c r="C6" s="15" t="n">
        <v>2400</v>
      </c>
      <c r="E6" s="16" t="s">
        <v>8</v>
      </c>
      <c r="F6" s="17" t="n">
        <f aca="true">OFFSET(Ausschütter!F2,C13,0)-OFFSET(Ausschütter!I2,C13,0)</f>
        <v>135064.265424471</v>
      </c>
      <c r="G6" s="18" t="n">
        <f aca="true">OFFSET(Thesaurierer!F2,C13,0)</f>
        <v>138656.133958563</v>
      </c>
      <c r="H6" s="19" t="n">
        <f aca="false">ABS(F6-G6)</f>
        <v>3591.86853409198</v>
      </c>
      <c r="I6" s="20" t="n">
        <f aca="false">IF(F6&gt;G6,(H6/G6),(H6/F6))</f>
        <v>0.0265937738809277</v>
      </c>
    </row>
    <row r="7" customFormat="false" ht="15" hidden="false" customHeight="false" outlineLevel="0" collapsed="false">
      <c r="B7" s="14" t="s">
        <v>9</v>
      </c>
      <c r="C7" s="21" t="n">
        <v>0.06</v>
      </c>
      <c r="E7" s="22" t="s">
        <v>10</v>
      </c>
      <c r="F7" s="23" t="n">
        <f aca="true">F6-OFFSET(Ausschütter!C2,C13,0)-OFFSET(Ausschütter!K2,C13,0)</f>
        <v>53369.8394131859</v>
      </c>
      <c r="G7" s="24" t="n">
        <f aca="true">G6-OFFSET(Thesaurierer!C2,C13,0)-OFFSET(Thesaurierer!K2,C13,0)</f>
        <v>70492.8363617688</v>
      </c>
      <c r="H7" s="24" t="n">
        <f aca="false">ABS(F7-G7)</f>
        <v>17122.9969485828</v>
      </c>
      <c r="I7" s="25" t="n">
        <f aca="false">IF(F7&gt;G7,(H7/G7),(H7/F7))</f>
        <v>0.320836583674492</v>
      </c>
    </row>
    <row r="8" customFormat="false" ht="15" hidden="false" customHeight="false" outlineLevel="0" collapsed="false">
      <c r="B8" s="14" t="s">
        <v>11</v>
      </c>
      <c r="C8" s="21" t="n">
        <v>0.018</v>
      </c>
      <c r="E8" s="22" t="s">
        <v>12</v>
      </c>
      <c r="F8" s="23" t="n">
        <f aca="false">F7*$C$11*$C$9</f>
        <v>9853.40660165945</v>
      </c>
      <c r="G8" s="23" t="n">
        <f aca="false">G7*$C$11*$C$9</f>
        <v>13014.7399132916</v>
      </c>
      <c r="H8" s="26" t="n">
        <f aca="false">ABS(F8-G8)</f>
        <v>3161.3333116321</v>
      </c>
      <c r="I8" s="27" t="n">
        <f aca="false">IF(F8&gt;G8,(H8/G8),(H8/F8))</f>
        <v>0.320836583674492</v>
      </c>
    </row>
    <row r="9" customFormat="false" ht="15.75" hidden="false" customHeight="false" outlineLevel="0" collapsed="false">
      <c r="B9" s="14" t="s">
        <v>13</v>
      </c>
      <c r="C9" s="28" t="n">
        <v>0.26375</v>
      </c>
      <c r="E9" s="29" t="s">
        <v>14</v>
      </c>
      <c r="F9" s="30" t="n">
        <f aca="true">F6-F8+OFFSET(Ausschütter!N2,C13,0)</f>
        <v>127440.762549969</v>
      </c>
      <c r="G9" s="30" t="n">
        <f aca="true">G6-G8-OFFSET(Thesaurierer!J2,C13,0)</f>
        <v>125641.394045271</v>
      </c>
      <c r="H9" s="31" t="n">
        <f aca="false">ABS(F9-G9)</f>
        <v>1799.36850469757</v>
      </c>
      <c r="I9" s="32" t="n">
        <f aca="false">IF(F9&gt;G9,(H9/G9),(H9/F9))</f>
        <v>0.014321462431794</v>
      </c>
    </row>
    <row r="10" customFormat="false" ht="15.75" hidden="false" customHeight="false" outlineLevel="0" collapsed="false">
      <c r="B10" s="14" t="s">
        <v>15</v>
      </c>
      <c r="C10" s="28" t="n">
        <v>0.0087</v>
      </c>
      <c r="E10" s="33" t="s">
        <v>16</v>
      </c>
      <c r="F10" s="34" t="n">
        <f aca="false">Ausschütter!Q12</f>
        <v>0.0542636956846683</v>
      </c>
      <c r="G10" s="35" t="n">
        <f aca="false">Thesaurierer!P12</f>
        <v>0.0532909275934872</v>
      </c>
      <c r="H10" s="36"/>
      <c r="I10" s="36"/>
    </row>
    <row r="11" customFormat="false" ht="15" hidden="false" customHeight="false" outlineLevel="0" collapsed="false">
      <c r="B11" s="37" t="s">
        <v>17</v>
      </c>
      <c r="C11" s="38" t="n">
        <v>0.7</v>
      </c>
    </row>
    <row r="12" customFormat="false" ht="15" hidden="false" customHeight="false" outlineLevel="0" collapsed="false">
      <c r="B12" s="39" t="s">
        <v>18</v>
      </c>
      <c r="C12" s="40" t="n">
        <v>801</v>
      </c>
    </row>
    <row r="13" customFormat="false" ht="15.75" hidden="false" customHeight="false" outlineLevel="0" collapsed="false">
      <c r="B13" s="41" t="s">
        <v>19</v>
      </c>
      <c r="C13" s="42" t="n">
        <v>23</v>
      </c>
    </row>
    <row r="15" customFormat="false" ht="15.75" hidden="false" customHeight="false" outlineLevel="0" collapsed="false">
      <c r="B15" s="43"/>
    </row>
    <row r="16" customFormat="false" ht="15.75" hidden="false" customHeight="false" outlineLevel="0" collapsed="false">
      <c r="B16" s="44" t="s">
        <v>20</v>
      </c>
      <c r="C16" s="44"/>
      <c r="D16" s="44"/>
      <c r="E16" s="44"/>
      <c r="F16" s="44"/>
      <c r="G16" s="44"/>
      <c r="H16" s="44"/>
      <c r="I16" s="44"/>
      <c r="J16" s="44"/>
      <c r="K16" s="44"/>
    </row>
    <row r="17" customFormat="false" ht="15.75" hidden="false" customHeight="false" outlineLevel="0" collapsed="false">
      <c r="B17" s="45" t="s">
        <v>21</v>
      </c>
      <c r="C17" s="46" t="s">
        <v>22</v>
      </c>
      <c r="D17" s="47" t="s">
        <v>21</v>
      </c>
      <c r="E17" s="48" t="s">
        <v>22</v>
      </c>
      <c r="F17" s="49" t="s">
        <v>21</v>
      </c>
      <c r="G17" s="50" t="s">
        <v>22</v>
      </c>
      <c r="H17" s="51" t="s">
        <v>21</v>
      </c>
      <c r="I17" s="52" t="s">
        <v>22</v>
      </c>
      <c r="J17" s="53" t="s">
        <v>21</v>
      </c>
      <c r="K17" s="54" t="s">
        <v>22</v>
      </c>
    </row>
    <row r="18" customFormat="false" ht="15" hidden="false" customHeight="false" outlineLevel="0" collapsed="false">
      <c r="B18" s="55" t="n">
        <v>1</v>
      </c>
      <c r="C18" s="56"/>
      <c r="D18" s="57" t="n">
        <v>21</v>
      </c>
      <c r="E18" s="58"/>
      <c r="F18" s="59" t="n">
        <v>41</v>
      </c>
      <c r="G18" s="60"/>
      <c r="H18" s="61" t="n">
        <v>61</v>
      </c>
      <c r="I18" s="62"/>
      <c r="J18" s="63" t="n">
        <v>81</v>
      </c>
      <c r="K18" s="64"/>
    </row>
    <row r="19" customFormat="false" ht="15" hidden="false" customHeight="false" outlineLevel="0" collapsed="false">
      <c r="B19" s="65" t="n">
        <v>2</v>
      </c>
      <c r="C19" s="66"/>
      <c r="D19" s="67" t="n">
        <v>22</v>
      </c>
      <c r="E19" s="68"/>
      <c r="F19" s="69" t="n">
        <v>42</v>
      </c>
      <c r="G19" s="70"/>
      <c r="H19" s="71" t="n">
        <v>62</v>
      </c>
      <c r="I19" s="72"/>
      <c r="J19" s="73" t="n">
        <v>82</v>
      </c>
      <c r="K19" s="74"/>
    </row>
    <row r="20" customFormat="false" ht="15" hidden="false" customHeight="false" outlineLevel="0" collapsed="false">
      <c r="B20" s="65" t="n">
        <v>3</v>
      </c>
      <c r="C20" s="66"/>
      <c r="D20" s="67" t="n">
        <v>23</v>
      </c>
      <c r="E20" s="68"/>
      <c r="F20" s="69" t="n">
        <v>43</v>
      </c>
      <c r="G20" s="70"/>
      <c r="H20" s="71" t="n">
        <v>63</v>
      </c>
      <c r="I20" s="72"/>
      <c r="J20" s="73" t="n">
        <v>83</v>
      </c>
      <c r="K20" s="74"/>
    </row>
    <row r="21" customFormat="false" ht="15" hidden="false" customHeight="false" outlineLevel="0" collapsed="false">
      <c r="B21" s="65" t="n">
        <v>4</v>
      </c>
      <c r="C21" s="66"/>
      <c r="D21" s="67" t="n">
        <v>24</v>
      </c>
      <c r="E21" s="68"/>
      <c r="F21" s="69" t="n">
        <v>44</v>
      </c>
      <c r="G21" s="70"/>
      <c r="H21" s="71" t="n">
        <v>64</v>
      </c>
      <c r="I21" s="72"/>
      <c r="J21" s="73" t="n">
        <v>84</v>
      </c>
      <c r="K21" s="74"/>
    </row>
    <row r="22" customFormat="false" ht="15" hidden="false" customHeight="false" outlineLevel="0" collapsed="false">
      <c r="B22" s="65" t="n">
        <v>5</v>
      </c>
      <c r="C22" s="66"/>
      <c r="D22" s="67" t="n">
        <v>25</v>
      </c>
      <c r="E22" s="68"/>
      <c r="F22" s="69" t="n">
        <v>45</v>
      </c>
      <c r="G22" s="70"/>
      <c r="H22" s="71" t="n">
        <v>65</v>
      </c>
      <c r="I22" s="72"/>
      <c r="J22" s="73" t="n">
        <v>85</v>
      </c>
      <c r="K22" s="74"/>
    </row>
    <row r="23" customFormat="false" ht="15" hidden="false" customHeight="false" outlineLevel="0" collapsed="false">
      <c r="B23" s="65" t="n">
        <v>6</v>
      </c>
      <c r="C23" s="66"/>
      <c r="D23" s="67" t="n">
        <v>26</v>
      </c>
      <c r="E23" s="68"/>
      <c r="F23" s="69" t="n">
        <v>46</v>
      </c>
      <c r="G23" s="70"/>
      <c r="H23" s="71" t="n">
        <v>66</v>
      </c>
      <c r="I23" s="72"/>
      <c r="J23" s="73" t="n">
        <v>86</v>
      </c>
      <c r="K23" s="74"/>
    </row>
    <row r="24" customFormat="false" ht="15" hidden="false" customHeight="false" outlineLevel="0" collapsed="false">
      <c r="B24" s="65" t="n">
        <v>7</v>
      </c>
      <c r="C24" s="66"/>
      <c r="D24" s="67" t="n">
        <v>27</v>
      </c>
      <c r="E24" s="68"/>
      <c r="F24" s="69" t="n">
        <v>47</v>
      </c>
      <c r="G24" s="70"/>
      <c r="H24" s="71" t="n">
        <v>67</v>
      </c>
      <c r="I24" s="72"/>
      <c r="J24" s="73" t="n">
        <v>87</v>
      </c>
      <c r="K24" s="74"/>
    </row>
    <row r="25" customFormat="false" ht="15" hidden="false" customHeight="false" outlineLevel="0" collapsed="false">
      <c r="B25" s="65" t="n">
        <v>8</v>
      </c>
      <c r="C25" s="66"/>
      <c r="D25" s="67" t="n">
        <v>28</v>
      </c>
      <c r="E25" s="68"/>
      <c r="F25" s="69" t="n">
        <v>48</v>
      </c>
      <c r="G25" s="70"/>
      <c r="H25" s="71" t="n">
        <v>68</v>
      </c>
      <c r="I25" s="72"/>
      <c r="J25" s="73" t="n">
        <v>88</v>
      </c>
      <c r="K25" s="74"/>
    </row>
    <row r="26" customFormat="false" ht="15" hidden="false" customHeight="false" outlineLevel="0" collapsed="false">
      <c r="B26" s="65" t="n">
        <v>9</v>
      </c>
      <c r="C26" s="66"/>
      <c r="D26" s="67" t="n">
        <v>29</v>
      </c>
      <c r="E26" s="68"/>
      <c r="F26" s="69" t="n">
        <v>49</v>
      </c>
      <c r="G26" s="70"/>
      <c r="H26" s="71" t="n">
        <v>69</v>
      </c>
      <c r="I26" s="72"/>
      <c r="J26" s="73" t="n">
        <v>89</v>
      </c>
      <c r="K26" s="74"/>
    </row>
    <row r="27" customFormat="false" ht="15" hidden="false" customHeight="false" outlineLevel="0" collapsed="false">
      <c r="B27" s="65" t="n">
        <v>10</v>
      </c>
      <c r="C27" s="66"/>
      <c r="D27" s="67" t="n">
        <v>30</v>
      </c>
      <c r="E27" s="68"/>
      <c r="F27" s="69" t="n">
        <v>50</v>
      </c>
      <c r="G27" s="70"/>
      <c r="H27" s="71" t="n">
        <v>70</v>
      </c>
      <c r="I27" s="72"/>
      <c r="J27" s="73" t="n">
        <v>90</v>
      </c>
      <c r="K27" s="74"/>
    </row>
    <row r="28" customFormat="false" ht="15" hidden="false" customHeight="false" outlineLevel="0" collapsed="false">
      <c r="B28" s="65" t="n">
        <v>11</v>
      </c>
      <c r="C28" s="66"/>
      <c r="D28" s="67" t="n">
        <v>31</v>
      </c>
      <c r="E28" s="68"/>
      <c r="F28" s="69" t="n">
        <v>51</v>
      </c>
      <c r="G28" s="70"/>
      <c r="H28" s="71" t="n">
        <v>71</v>
      </c>
      <c r="I28" s="72"/>
      <c r="J28" s="73" t="n">
        <v>91</v>
      </c>
      <c r="K28" s="74"/>
    </row>
    <row r="29" customFormat="false" ht="15" hidden="false" customHeight="false" outlineLevel="0" collapsed="false">
      <c r="B29" s="65" t="n">
        <v>12</v>
      </c>
      <c r="C29" s="66"/>
      <c r="D29" s="67" t="n">
        <v>32</v>
      </c>
      <c r="E29" s="68"/>
      <c r="F29" s="69" t="n">
        <v>52</v>
      </c>
      <c r="G29" s="70"/>
      <c r="H29" s="71" t="n">
        <v>72</v>
      </c>
      <c r="I29" s="72"/>
      <c r="J29" s="73" t="n">
        <v>92</v>
      </c>
      <c r="K29" s="74"/>
    </row>
    <row r="30" customFormat="false" ht="15" hidden="false" customHeight="false" outlineLevel="0" collapsed="false">
      <c r="B30" s="65" t="n">
        <v>13</v>
      </c>
      <c r="C30" s="66"/>
      <c r="D30" s="67" t="n">
        <v>33</v>
      </c>
      <c r="E30" s="68"/>
      <c r="F30" s="69" t="n">
        <v>53</v>
      </c>
      <c r="G30" s="70"/>
      <c r="H30" s="71" t="n">
        <v>73</v>
      </c>
      <c r="I30" s="72"/>
      <c r="J30" s="73" t="n">
        <v>93</v>
      </c>
      <c r="K30" s="74"/>
    </row>
    <row r="31" customFormat="false" ht="15" hidden="false" customHeight="false" outlineLevel="0" collapsed="false">
      <c r="B31" s="65" t="n">
        <v>14</v>
      </c>
      <c r="C31" s="66"/>
      <c r="D31" s="67" t="n">
        <v>34</v>
      </c>
      <c r="E31" s="68"/>
      <c r="F31" s="69" t="n">
        <v>54</v>
      </c>
      <c r="G31" s="70"/>
      <c r="H31" s="71" t="n">
        <v>74</v>
      </c>
      <c r="I31" s="72"/>
      <c r="J31" s="73" t="n">
        <v>94</v>
      </c>
      <c r="K31" s="74"/>
    </row>
    <row r="32" customFormat="false" ht="15" hidden="false" customHeight="false" outlineLevel="0" collapsed="false">
      <c r="B32" s="65" t="n">
        <v>15</v>
      </c>
      <c r="C32" s="66"/>
      <c r="D32" s="67" t="n">
        <v>35</v>
      </c>
      <c r="E32" s="68"/>
      <c r="F32" s="69" t="n">
        <v>55</v>
      </c>
      <c r="G32" s="70"/>
      <c r="H32" s="71" t="n">
        <v>75</v>
      </c>
      <c r="I32" s="72"/>
      <c r="J32" s="73" t="n">
        <v>95</v>
      </c>
      <c r="K32" s="74"/>
    </row>
    <row r="33" customFormat="false" ht="15" hidden="false" customHeight="false" outlineLevel="0" collapsed="false">
      <c r="B33" s="65" t="n">
        <v>16</v>
      </c>
      <c r="C33" s="66"/>
      <c r="D33" s="67" t="n">
        <v>36</v>
      </c>
      <c r="E33" s="68"/>
      <c r="F33" s="69" t="n">
        <v>56</v>
      </c>
      <c r="G33" s="70"/>
      <c r="H33" s="71" t="n">
        <v>76</v>
      </c>
      <c r="I33" s="72"/>
      <c r="J33" s="73" t="n">
        <v>96</v>
      </c>
      <c r="K33" s="74"/>
    </row>
    <row r="34" customFormat="false" ht="15" hidden="false" customHeight="false" outlineLevel="0" collapsed="false">
      <c r="B34" s="65" t="n">
        <v>17</v>
      </c>
      <c r="C34" s="66"/>
      <c r="D34" s="67" t="n">
        <v>37</v>
      </c>
      <c r="E34" s="68"/>
      <c r="F34" s="69" t="n">
        <v>57</v>
      </c>
      <c r="G34" s="70"/>
      <c r="H34" s="71" t="n">
        <v>77</v>
      </c>
      <c r="I34" s="72"/>
      <c r="J34" s="73" t="n">
        <v>97</v>
      </c>
      <c r="K34" s="74"/>
    </row>
    <row r="35" customFormat="false" ht="15" hidden="false" customHeight="false" outlineLevel="0" collapsed="false">
      <c r="B35" s="65" t="n">
        <v>18</v>
      </c>
      <c r="C35" s="66"/>
      <c r="D35" s="67" t="n">
        <v>38</v>
      </c>
      <c r="E35" s="68"/>
      <c r="F35" s="69" t="n">
        <v>58</v>
      </c>
      <c r="G35" s="70"/>
      <c r="H35" s="71" t="n">
        <v>78</v>
      </c>
      <c r="I35" s="72"/>
      <c r="J35" s="73" t="n">
        <v>98</v>
      </c>
      <c r="K35" s="74"/>
    </row>
    <row r="36" customFormat="false" ht="15" hidden="false" customHeight="false" outlineLevel="0" collapsed="false">
      <c r="B36" s="65" t="n">
        <v>19</v>
      </c>
      <c r="C36" s="66"/>
      <c r="D36" s="67" t="n">
        <v>39</v>
      </c>
      <c r="E36" s="68"/>
      <c r="F36" s="69" t="n">
        <v>59</v>
      </c>
      <c r="G36" s="70"/>
      <c r="H36" s="71" t="n">
        <v>79</v>
      </c>
      <c r="I36" s="72"/>
      <c r="J36" s="73" t="n">
        <v>99</v>
      </c>
      <c r="K36" s="74"/>
    </row>
    <row r="37" customFormat="false" ht="15.75" hidden="false" customHeight="false" outlineLevel="0" collapsed="false">
      <c r="B37" s="75" t="n">
        <v>20</v>
      </c>
      <c r="C37" s="76"/>
      <c r="D37" s="77" t="n">
        <v>40</v>
      </c>
      <c r="E37" s="78"/>
      <c r="F37" s="79" t="n">
        <v>60</v>
      </c>
      <c r="G37" s="80"/>
      <c r="H37" s="81" t="n">
        <v>80</v>
      </c>
      <c r="I37" s="82"/>
      <c r="J37" s="83" t="n">
        <v>100</v>
      </c>
      <c r="K37" s="84"/>
    </row>
  </sheetData>
  <mergeCells count="5">
    <mergeCell ref="B2:C2"/>
    <mergeCell ref="E2:F2"/>
    <mergeCell ref="B4:C4"/>
    <mergeCell ref="E4:I4"/>
    <mergeCell ref="B16:K16"/>
  </mergeCells>
  <conditionalFormatting sqref="H9">
    <cfRule type="expression" priority="2" aboveAverage="0" equalAverage="0" bottom="0" percent="0" rank="0" text="" dxfId="0">
      <formula>$G$9&gt;$F$9</formula>
    </cfRule>
    <cfRule type="expression" priority="3" aboveAverage="0" equalAverage="0" bottom="0" percent="0" rank="0" text="" dxfId="1">
      <formula>$F$9&gt;$G$9</formula>
    </cfRule>
  </conditionalFormatting>
  <conditionalFormatting sqref="H6">
    <cfRule type="expression" priority="4" aboveAverage="0" equalAverage="0" bottom="0" percent="0" rank="0" text="" dxfId="2">
      <formula>$G$6&gt;$F$6</formula>
    </cfRule>
    <cfRule type="expression" priority="5" aboveAverage="0" equalAverage="0" bottom="0" percent="0" rank="0" text="" dxfId="3">
      <formula>$F$6&gt;$G$6</formula>
    </cfRule>
  </conditionalFormatting>
  <conditionalFormatting sqref="H8">
    <cfRule type="expression" priority="6" aboveAverage="0" equalAverage="0" bottom="0" percent="0" rank="0" text="" dxfId="4">
      <formula>$G$8&gt;$F$8</formula>
    </cfRule>
    <cfRule type="expression" priority="7" aboveAverage="0" equalAverage="0" bottom="0" percent="0" rank="0" text="" dxfId="5">
      <formula>$F$8&gt;$G$8</formula>
    </cfRule>
  </conditionalFormatting>
  <conditionalFormatting sqref="H7">
    <cfRule type="expression" priority="8" aboveAverage="0" equalAverage="0" bottom="0" percent="0" rank="0" text="" dxfId="6">
      <formula>$G$7&gt;$F$7</formula>
    </cfRule>
    <cfRule type="expression" priority="9" aboveAverage="0" equalAverage="0" bottom="0" percent="0" rank="0" text="" dxfId="7">
      <formula>$F$7&gt;$G$7</formula>
    </cfRule>
  </conditionalFormatting>
  <conditionalFormatting sqref="I9">
    <cfRule type="expression" priority="10" aboveAverage="0" equalAverage="0" bottom="0" percent="0" rank="0" text="" dxfId="8">
      <formula>$G$9&gt;$F$9</formula>
    </cfRule>
    <cfRule type="expression" priority="11" aboveAverage="0" equalAverage="0" bottom="0" percent="0" rank="0" text="" dxfId="9">
      <formula>$F$9&gt;$G$9</formula>
    </cfRule>
  </conditionalFormatting>
  <conditionalFormatting sqref="I6">
    <cfRule type="expression" priority="12" aboveAverage="0" equalAverage="0" bottom="0" percent="0" rank="0" text="" dxfId="10">
      <formula>$G$6&gt;$F$6</formula>
    </cfRule>
    <cfRule type="expression" priority="13" aboveAverage="0" equalAverage="0" bottom="0" percent="0" rank="0" text="" dxfId="11">
      <formula>$F$6&gt;$G$6</formula>
    </cfRule>
  </conditionalFormatting>
  <conditionalFormatting sqref="I8">
    <cfRule type="expression" priority="14" aboveAverage="0" equalAverage="0" bottom="0" percent="0" rank="0" text="" dxfId="12">
      <formula>$G$8&gt;$F$8</formula>
    </cfRule>
    <cfRule type="expression" priority="15" aboveAverage="0" equalAverage="0" bottom="0" percent="0" rank="0" text="" dxfId="13">
      <formula>$F$8&gt;$G$8</formula>
    </cfRule>
  </conditionalFormatting>
  <conditionalFormatting sqref="I7">
    <cfRule type="expression" priority="16" aboveAverage="0" equalAverage="0" bottom="0" percent="0" rank="0" text="" dxfId="14">
      <formula>$G$7&gt;$F$7</formula>
    </cfRule>
    <cfRule type="expression" priority="17" aboveAverage="0" equalAverage="0" bottom="0" percent="0" rank="0" text="" dxfId="15">
      <formula>$F$7&gt;$G$7</formula>
    </cfRule>
  </conditionalFormatting>
  <dataValidations count="2">
    <dataValidation allowBlank="true" operator="between" prompt="Diese Warnung dient als Information! &#10;Berechnungen bleiben bis zum angegebenen Jahr (exklusive) korrekt!&#10;" promptTitle="WARNUNG!" showDropDown="false" showErrorMessage="true" showInputMessage="true" sqref="B2 D2" type="none">
      <formula1>0</formula1>
      <formula2>0</formula2>
    </dataValidation>
    <dataValidation allowBlank="true" operator="between" prompt="Die Prozentangaben beziehen sich jeweils auf den kleineren&#10;der beiden Werte!" promptTitle="Information!" showDropDown="false" showErrorMessage="true" showInputMessage="true" sqref="I5:I9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4"/>
  <sheetViews>
    <sheetView showFormulas="false" showGridLines="true" showRowColHeaders="fals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Q12" activeCellId="0" sqref="Q12"/>
    </sheetView>
  </sheetViews>
  <sheetFormatPr defaultColWidth="10.4609375" defaultRowHeight="15" zeroHeight="false" outlineLevelRow="0" outlineLevelCol="0"/>
  <cols>
    <col collapsed="false" customWidth="true" hidden="false" outlineLevel="0" max="1" min="1" style="0" width="7.71"/>
    <col collapsed="false" customWidth="true" hidden="true" outlineLevel="0" max="2" min="2" style="0" width="10.29"/>
    <col collapsed="false" customWidth="true" hidden="false" outlineLevel="0" max="3" min="3" style="0" width="16.14"/>
    <col collapsed="false" customWidth="true" hidden="false" outlineLevel="0" max="4" min="4" style="0" width="13.7"/>
    <col collapsed="false" customWidth="true" hidden="false" outlineLevel="0" max="5" min="5" style="0" width="11.29"/>
    <col collapsed="false" customWidth="true" hidden="false" outlineLevel="0" max="6" min="6" style="0" width="19.14"/>
    <col collapsed="false" customWidth="true" hidden="false" outlineLevel="0" max="7" min="7" style="0" width="16.71"/>
    <col collapsed="false" customWidth="true" hidden="false" outlineLevel="0" max="8" min="8" style="0" width="16.29"/>
    <col collapsed="false" customWidth="true" hidden="false" outlineLevel="0" max="9" min="9" style="0" width="13.43"/>
    <col collapsed="false" customWidth="true" hidden="false" outlineLevel="0" max="10" min="10" style="0" width="16.14"/>
    <col collapsed="false" customWidth="true" hidden="false" outlineLevel="0" max="12" min="11" style="0" width="16.42"/>
    <col collapsed="false" customWidth="true" hidden="false" outlineLevel="0" max="13" min="13" style="0" width="17.42"/>
    <col collapsed="false" customWidth="true" hidden="false" outlineLevel="0" max="14" min="14" style="0" width="16.14"/>
    <col collapsed="false" customWidth="true" hidden="false" outlineLevel="0" max="16" min="16" style="0" width="28.86"/>
    <col collapsed="false" customWidth="true" hidden="false" outlineLevel="0" max="17" min="17" style="0" width="18.58"/>
    <col collapsed="false" customWidth="true" hidden="false" outlineLevel="0" max="18" min="18" style="0" width="13.01"/>
    <col collapsed="false" customWidth="true" hidden="false" outlineLevel="0" max="19" min="19" style="0" width="18.58"/>
    <col collapsed="false" customWidth="true" hidden="false" outlineLevel="0" max="20" min="20" style="0" width="17.86"/>
    <col collapsed="false" customWidth="true" hidden="false" outlineLevel="0" max="22" min="22" style="0" width="17.86"/>
  </cols>
  <sheetData>
    <row r="1" customFormat="false" ht="15.75" hidden="false" customHeight="false" outlineLevel="0" collapsed="false"/>
    <row r="2" customFormat="false" ht="45.75" hidden="false" customHeight="false" outlineLevel="0" collapsed="false">
      <c r="A2" s="85" t="s">
        <v>21</v>
      </c>
      <c r="B2" s="85"/>
      <c r="C2" s="86" t="s">
        <v>23</v>
      </c>
      <c r="D2" s="85" t="s">
        <v>24</v>
      </c>
      <c r="E2" s="85" t="s">
        <v>25</v>
      </c>
      <c r="F2" s="85" t="s">
        <v>26</v>
      </c>
      <c r="G2" s="85" t="s">
        <v>27</v>
      </c>
      <c r="H2" s="86" t="s">
        <v>28</v>
      </c>
      <c r="I2" s="85" t="s">
        <v>29</v>
      </c>
      <c r="J2" s="85" t="s">
        <v>30</v>
      </c>
      <c r="K2" s="86" t="s">
        <v>31</v>
      </c>
      <c r="L2" s="86" t="s">
        <v>32</v>
      </c>
      <c r="M2" s="86" t="s">
        <v>33</v>
      </c>
      <c r="N2" s="85" t="s">
        <v>34</v>
      </c>
    </row>
    <row r="3" customFormat="false" ht="15" hidden="false" customHeight="false" outlineLevel="0" collapsed="false">
      <c r="A3" s="87" t="n">
        <v>1</v>
      </c>
      <c r="B3" s="88" t="n">
        <f aca="false">IF(Übersicht!$C$13&gt;=A3,-Übersicht!$C$5-Übersicht!$C$6,IF(A3=Übersicht!$C$13+1,Übersicht!$F$9,0))</f>
        <v>-7400</v>
      </c>
      <c r="C3" s="88" t="n">
        <f aca="false">E3+D3</f>
        <v>7400</v>
      </c>
      <c r="D3" s="88" t="n">
        <f aca="false">Q3</f>
        <v>5000</v>
      </c>
      <c r="E3" s="88" t="n">
        <f aca="false">$Q$4</f>
        <v>2400</v>
      </c>
      <c r="F3" s="88" t="n">
        <f aca="false">IF(ISNUMBER(Übersicht!C18),(D3+E3)*(1+Übersicht!C18),(D3+E3)*(1+$Q$5))</f>
        <v>7844</v>
      </c>
      <c r="G3" s="88" t="n">
        <f aca="false">F3-(E3+D3)</f>
        <v>444</v>
      </c>
      <c r="H3" s="88" t="n">
        <f aca="false">IF(G3&gt;0,MIN((D3+E3)*$Q$8*0.7,G3),0)</f>
        <v>45.066</v>
      </c>
      <c r="I3" s="88" t="n">
        <f aca="false">F3*$Q$6</f>
        <v>141.192</v>
      </c>
      <c r="J3" s="88" t="n">
        <f aca="false">IF(G3&gt;0,MAX(H3-I3,0),0)</f>
        <v>0</v>
      </c>
      <c r="K3" s="88" t="n">
        <f aca="false">J3</f>
        <v>0</v>
      </c>
      <c r="L3" s="88" t="n">
        <f aca="false">IF(J3*$Q$9&gt;$Q$10,(J3*$Q$9-$Q$10)*$Q$7,0)</f>
        <v>0</v>
      </c>
      <c r="M3" s="88" t="n">
        <f aca="false">IF(I3*$Q$9&gt;$Q$10,(I3*$Q$9-$Q$10)*$Q$7,0)</f>
        <v>0</v>
      </c>
      <c r="N3" s="89" t="n">
        <f aca="false">I3-M3-L3</f>
        <v>141.192</v>
      </c>
      <c r="P3" s="7" t="s">
        <v>2</v>
      </c>
      <c r="Q3" s="90" t="n">
        <f aca="false">Übersicht!C5</f>
        <v>5000</v>
      </c>
    </row>
    <row r="4" customFormat="false" ht="15" hidden="false" customHeight="false" outlineLevel="0" collapsed="false">
      <c r="A4" s="91" t="n">
        <v>2</v>
      </c>
      <c r="B4" s="92" t="n">
        <f aca="false">IF(Übersicht!$C$13&gt;=A4,-Übersicht!$C$6,IF(A4=Übersicht!$C$13+1,Übersicht!$F$9,0))</f>
        <v>-2400</v>
      </c>
      <c r="C4" s="92" t="n">
        <f aca="false">C3+E4</f>
        <v>9941.192</v>
      </c>
      <c r="D4" s="92" t="n">
        <f aca="false">F3-I3</f>
        <v>7702.808</v>
      </c>
      <c r="E4" s="92" t="n">
        <f aca="false">$Q$4+N3</f>
        <v>2541.192</v>
      </c>
      <c r="F4" s="92" t="n">
        <f aca="false">IF(ISNUMBER(Übersicht!C19),(D4+E4)*(1+Übersicht!C19),(D4+E4)*(1+$Q$5))</f>
        <v>10858.64</v>
      </c>
      <c r="G4" s="92" t="n">
        <f aca="false">F4-(E4+D4)</f>
        <v>614.640000000001</v>
      </c>
      <c r="H4" s="92" t="n">
        <f aca="false">IF(G4&gt;0,MIN((D4+E4)*$Q$8*0.7,G4),0)</f>
        <v>62.38596</v>
      </c>
      <c r="I4" s="92" t="n">
        <f aca="false">F4*$Q$6</f>
        <v>195.45552</v>
      </c>
      <c r="J4" s="92" t="n">
        <f aca="false">IF(G4&gt;0,MAX(H4-I4,0),0)</f>
        <v>0</v>
      </c>
      <c r="K4" s="92" t="n">
        <f aca="false">K3+J4</f>
        <v>0</v>
      </c>
      <c r="L4" s="92" t="n">
        <f aca="false">IF(J4*$Q$9&gt;$Q$10,(J4*$Q$9-$Q$10)*$Q$7,0)</f>
        <v>0</v>
      </c>
      <c r="M4" s="92" t="n">
        <f aca="false">IF(J3*$Q$9&gt;$Q$10,(I4)*$Q$9*$Q$7,IF((J3+I4)*$Q$9&gt;$Q$10,((J3+I4)*$Q$9-$Q$10)*$Q$7,0))</f>
        <v>0</v>
      </c>
      <c r="N4" s="89" t="n">
        <f aca="false">I4-M4-L4</f>
        <v>195.45552</v>
      </c>
      <c r="P4" s="14" t="s">
        <v>7</v>
      </c>
      <c r="Q4" s="93" t="n">
        <f aca="false">Übersicht!C6</f>
        <v>2400</v>
      </c>
    </row>
    <row r="5" customFormat="false" ht="15" hidden="false" customHeight="false" outlineLevel="0" collapsed="false">
      <c r="A5" s="91" t="n">
        <v>3</v>
      </c>
      <c r="B5" s="92" t="n">
        <f aca="false">IF(Übersicht!$C$13&gt;=A5,-Übersicht!$C$6,IF(A5=Übersicht!$C$13+1,Übersicht!$F$9,0))</f>
        <v>-2400</v>
      </c>
      <c r="C5" s="92" t="n">
        <f aca="false">C4+E5</f>
        <v>12536.64752</v>
      </c>
      <c r="D5" s="92" t="n">
        <f aca="false">F4-I4</f>
        <v>10663.18448</v>
      </c>
      <c r="E5" s="92" t="n">
        <f aca="false">$Q$4+N4</f>
        <v>2595.45552</v>
      </c>
      <c r="F5" s="92" t="n">
        <f aca="false">IF(ISNUMBER(Übersicht!C20),(D5+E5)*(1+Übersicht!C20),(D5+E5)*(1+$Q$5))</f>
        <v>14054.1584</v>
      </c>
      <c r="G5" s="92" t="n">
        <f aca="false">F5-(E5+D5)</f>
        <v>795.518400000001</v>
      </c>
      <c r="H5" s="92" t="n">
        <f aca="false">IF(G5&gt;0,MIN((D5+E5)*$Q$8*0.7,G5),0)</f>
        <v>80.7451176</v>
      </c>
      <c r="I5" s="92" t="n">
        <f aca="false">F5*$Q$6</f>
        <v>252.9748512</v>
      </c>
      <c r="J5" s="92" t="n">
        <f aca="false">IF(G5&gt;0,MAX(H5-I5,0),0)</f>
        <v>0</v>
      </c>
      <c r="K5" s="92" t="n">
        <f aca="false">K4+J5</f>
        <v>0</v>
      </c>
      <c r="L5" s="92" t="n">
        <f aca="false">IF(J5*$Q$9&gt;$Q$10,(J5*$Q$9-$Q$10)*$Q$7,0)</f>
        <v>0</v>
      </c>
      <c r="M5" s="92" t="n">
        <f aca="false">IF(J4*$Q$9&gt;$Q$10,(I5)*$Q$9*$Q$7,IF((J4+I5)*$Q$9&gt;$Q$10,((J4+I5)*$Q$9-$Q$10)*$Q$7,0))</f>
        <v>0</v>
      </c>
      <c r="N5" s="89" t="n">
        <f aca="false">I5-M5-L5</f>
        <v>252.9748512</v>
      </c>
      <c r="P5" s="14" t="s">
        <v>9</v>
      </c>
      <c r="Q5" s="94" t="n">
        <f aca="false">Übersicht!C7</f>
        <v>0.06</v>
      </c>
    </row>
    <row r="6" customFormat="false" ht="15" hidden="false" customHeight="false" outlineLevel="0" collapsed="false">
      <c r="A6" s="91" t="n">
        <v>4</v>
      </c>
      <c r="B6" s="92" t="n">
        <f aca="false">IF(Übersicht!$C$13&gt;=A6,-Übersicht!$C$6,IF(A6=Übersicht!$C$13+1,Übersicht!$F$9,0))</f>
        <v>-2400</v>
      </c>
      <c r="C6" s="92" t="n">
        <f aca="false">C5+E6</f>
        <v>15189.6223712</v>
      </c>
      <c r="D6" s="92" t="n">
        <f aca="false">F5-I5</f>
        <v>13801.1835488</v>
      </c>
      <c r="E6" s="92" t="n">
        <f aca="false">$Q$4+N5</f>
        <v>2652.9748512</v>
      </c>
      <c r="F6" s="92" t="n">
        <f aca="false">IF(ISNUMBER(Übersicht!C21),(D6+E6)*(1+Übersicht!C21),(D6+E6)*(1+$Q$5))</f>
        <v>17441.407904</v>
      </c>
      <c r="G6" s="92" t="n">
        <f aca="false">F6-(E6+D6)</f>
        <v>987.249504</v>
      </c>
      <c r="H6" s="92" t="n">
        <f aca="false">IF(G6&gt;0,MIN((D6+E6)*$Q$8*0.7,G6),0)</f>
        <v>100.205824656</v>
      </c>
      <c r="I6" s="92" t="n">
        <f aca="false">F6*$Q$6</f>
        <v>313.945342272</v>
      </c>
      <c r="J6" s="92" t="n">
        <f aca="false">IF(G6&gt;0,MAX(H6-I6,0),0)</f>
        <v>0</v>
      </c>
      <c r="K6" s="92" t="n">
        <f aca="false">K5+J6</f>
        <v>0</v>
      </c>
      <c r="L6" s="92" t="n">
        <f aca="false">IF(J6*$Q$9&gt;$Q$10,(J6*$Q$9-$Q$10)*$Q$7,0)</f>
        <v>0</v>
      </c>
      <c r="M6" s="92" t="n">
        <f aca="false">IF(J5*$Q$9&gt;$Q$10,(I6)*$Q$9*$Q$7,IF((J5+I6)*$Q$9&gt;$Q$10,((J5+I6)*$Q$9-$Q$10)*$Q$7,0))</f>
        <v>0</v>
      </c>
      <c r="N6" s="89" t="n">
        <f aca="false">I6-M6-L6</f>
        <v>313.945342272</v>
      </c>
      <c r="P6" s="14" t="s">
        <v>11</v>
      </c>
      <c r="Q6" s="94" t="n">
        <f aca="false">Übersicht!C8</f>
        <v>0.018</v>
      </c>
    </row>
    <row r="7" customFormat="false" ht="15" hidden="false" customHeight="false" outlineLevel="0" collapsed="false">
      <c r="A7" s="91" t="n">
        <v>5</v>
      </c>
      <c r="B7" s="92" t="n">
        <f aca="false">IF(Übersicht!$C$13&gt;=A7,-Übersicht!$C$6,IF(A7=Übersicht!$C$13+1,Übersicht!$F$9,0))</f>
        <v>-2400</v>
      </c>
      <c r="C7" s="92" t="n">
        <f aca="false">C6+E7</f>
        <v>17903.567713472</v>
      </c>
      <c r="D7" s="92" t="n">
        <f aca="false">F6-I6</f>
        <v>17127.462561728</v>
      </c>
      <c r="E7" s="92" t="n">
        <f aca="false">$Q$4+N6</f>
        <v>2713.945342272</v>
      </c>
      <c r="F7" s="92" t="n">
        <f aca="false">IF(ISNUMBER(Übersicht!C22),(D7+E7)*(1+Übersicht!C22),(D7+E7)*(1+$Q$5))</f>
        <v>21031.89237824</v>
      </c>
      <c r="G7" s="92" t="n">
        <f aca="false">F7-(E7+D7)</f>
        <v>1190.48447424</v>
      </c>
      <c r="H7" s="92" t="n">
        <f aca="false">IF(G7&gt;0,MIN((D7+E7)*$Q$8*0.7,G7),0)</f>
        <v>120.83417413536</v>
      </c>
      <c r="I7" s="92" t="n">
        <f aca="false">F7*$Q$6</f>
        <v>378.57406280832</v>
      </c>
      <c r="J7" s="92" t="n">
        <f aca="false">IF(G7&gt;0,MAX(H7-I7,0),0)</f>
        <v>0</v>
      </c>
      <c r="K7" s="92" t="n">
        <f aca="false">K6+J7</f>
        <v>0</v>
      </c>
      <c r="L7" s="92" t="n">
        <f aca="false">IF(J7*$Q$9&gt;$Q$10,(J7*$Q$9-$Q$10)*$Q$7,0)</f>
        <v>0</v>
      </c>
      <c r="M7" s="92" t="n">
        <f aca="false">IF(J6*$Q$9&gt;$Q$10,(I7)*$Q$9*$Q$7,IF((J6+I7)*$Q$9&gt;$Q$10,((J6+I7)*$Q$9-$Q$10)*$Q$7,0))</f>
        <v>0</v>
      </c>
      <c r="N7" s="89" t="n">
        <f aca="false">I7-M7-L7</f>
        <v>378.57406280832</v>
      </c>
      <c r="P7" s="14" t="s">
        <v>13</v>
      </c>
      <c r="Q7" s="95" t="n">
        <f aca="false">Übersicht!C9</f>
        <v>0.26375</v>
      </c>
    </row>
    <row r="8" customFormat="false" ht="15" hidden="false" customHeight="false" outlineLevel="0" collapsed="false">
      <c r="A8" s="91" t="n">
        <v>6</v>
      </c>
      <c r="B8" s="92" t="n">
        <f aca="false">IF(Übersicht!$C$13&gt;=A8,-Übersicht!$C$6,IF(A8=Übersicht!$C$13+1,Übersicht!$F$9,0))</f>
        <v>-2400</v>
      </c>
      <c r="C8" s="92" t="n">
        <f aca="false">C7+E8</f>
        <v>20682.1417762803</v>
      </c>
      <c r="D8" s="92" t="n">
        <f aca="false">F7-I7</f>
        <v>20653.3183154317</v>
      </c>
      <c r="E8" s="92" t="n">
        <f aca="false">$Q$4+N7</f>
        <v>2778.57406280832</v>
      </c>
      <c r="F8" s="92" t="n">
        <f aca="false">IF(ISNUMBER(Übersicht!C23),(D8+E8)*(1+Übersicht!C23),(D8+E8)*(1+$Q$5))</f>
        <v>24837.8059209344</v>
      </c>
      <c r="G8" s="92" t="n">
        <f aca="false">F8-(E8+D8)</f>
        <v>1405.9135426944</v>
      </c>
      <c r="H8" s="92" t="n">
        <f aca="false">IF(G8&gt;0,MIN((D8+E8)*$Q$8*0.7,G8),0)</f>
        <v>142.700224583482</v>
      </c>
      <c r="I8" s="92" t="n">
        <f aca="false">F8*$Q$6</f>
        <v>447.080506576819</v>
      </c>
      <c r="J8" s="92" t="n">
        <f aca="false">IF(G8&gt;0,MAX(H8-I8,0),0)</f>
        <v>0</v>
      </c>
      <c r="K8" s="92" t="n">
        <f aca="false">K7+J8</f>
        <v>0</v>
      </c>
      <c r="L8" s="92" t="n">
        <f aca="false">IF(J8*$Q$9&gt;$Q$10,(J8*$Q$9-$Q$10)*$Q$7,0)</f>
        <v>0</v>
      </c>
      <c r="M8" s="92" t="n">
        <f aca="false">IF(J7*$Q$9&gt;$Q$10,(I8)*$Q$9*$Q$7,IF((J7+I8)*$Q$9&gt;$Q$10,((J7+I8)*$Q$9-$Q$10)*$Q$7,0))</f>
        <v>0</v>
      </c>
      <c r="N8" s="89" t="n">
        <f aca="false">I8-M8-L8</f>
        <v>447.080506576819</v>
      </c>
      <c r="P8" s="14" t="s">
        <v>15</v>
      </c>
      <c r="Q8" s="95" t="n">
        <f aca="false">Übersicht!C10</f>
        <v>0.0087</v>
      </c>
    </row>
    <row r="9" customFormat="false" ht="15" hidden="false" customHeight="false" outlineLevel="0" collapsed="false">
      <c r="A9" s="91" t="n">
        <v>7</v>
      </c>
      <c r="B9" s="92" t="n">
        <f aca="false">IF(Übersicht!$C$13&gt;=A9,-Übersicht!$C$6,IF(A9=Übersicht!$C$13+1,Übersicht!$F$9,0))</f>
        <v>-2400</v>
      </c>
      <c r="C9" s="92" t="n">
        <f aca="false">C8+E9</f>
        <v>23529.2222828571</v>
      </c>
      <c r="D9" s="92" t="n">
        <f aca="false">F8-I8</f>
        <v>24390.7254143576</v>
      </c>
      <c r="E9" s="92" t="n">
        <f aca="false">$Q$4+N8</f>
        <v>2847.08050657682</v>
      </c>
      <c r="F9" s="92" t="n">
        <f aca="false">IF(ISNUMBER(Übersicht!C24),(D9+E9)*(1+Übersicht!C24),(D9+E9)*(1+$Q$5))</f>
        <v>28872.0742761905</v>
      </c>
      <c r="G9" s="92" t="n">
        <f aca="false">F9-(E9+D9)</f>
        <v>1634.26835525607</v>
      </c>
      <c r="H9" s="92" t="n">
        <f aca="false">IF(G9&gt;0,MIN((D9+E9)*$Q$8*0.7,G9),0)</f>
        <v>165.87823805849</v>
      </c>
      <c r="I9" s="92" t="n">
        <f aca="false">F9*$Q$6</f>
        <v>519.697336971428</v>
      </c>
      <c r="J9" s="92" t="n">
        <f aca="false">IF(G9&gt;0,MAX(H9-I9,0),0)</f>
        <v>0</v>
      </c>
      <c r="K9" s="92" t="n">
        <f aca="false">K8+J9</f>
        <v>0</v>
      </c>
      <c r="L9" s="92" t="n">
        <f aca="false">IF(J9*$Q$9&gt;$Q$10,(J9*$Q$9-$Q$10)*$Q$7,0)</f>
        <v>0</v>
      </c>
      <c r="M9" s="92" t="n">
        <f aca="false">IF(J8*$Q$9&gt;$Q$10,(I9)*$Q$9*$Q$7,IF((J8+I9)*$Q$9&gt;$Q$10,((J8+I9)*$Q$9-$Q$10)*$Q$7,0))</f>
        <v>0</v>
      </c>
      <c r="N9" s="89" t="n">
        <f aca="false">I9-M9-L9</f>
        <v>519.697336971428</v>
      </c>
      <c r="P9" s="37" t="s">
        <v>17</v>
      </c>
      <c r="Q9" s="96" t="n">
        <f aca="false">Übersicht!C11</f>
        <v>0.7</v>
      </c>
    </row>
    <row r="10" customFormat="false" ht="15" hidden="false" customHeight="false" outlineLevel="0" collapsed="false">
      <c r="A10" s="91" t="n">
        <v>8</v>
      </c>
      <c r="B10" s="92" t="n">
        <f aca="false">IF(Übersicht!$C$13&gt;=A10,-Übersicht!$C$6,IF(A10=Übersicht!$C$13+1,Übersicht!$F$9,0))</f>
        <v>-2400</v>
      </c>
      <c r="C10" s="92" t="n">
        <f aca="false">C9+E10</f>
        <v>26448.9196198286</v>
      </c>
      <c r="D10" s="92" t="n">
        <f aca="false">F9-I9</f>
        <v>28352.376939219</v>
      </c>
      <c r="E10" s="92" t="n">
        <f aca="false">$Q$4+N9</f>
        <v>2919.69733697143</v>
      </c>
      <c r="F10" s="92" t="n">
        <f aca="false">IF(ISNUMBER(Übersicht!C25),(D10+E10)*(1+Übersicht!C25),(D10+E10)*(1+$Q$5))</f>
        <v>33148.3987327619</v>
      </c>
      <c r="G10" s="92" t="n">
        <f aca="false">F10-(E10+D10)</f>
        <v>1876.32445657143</v>
      </c>
      <c r="H10" s="92" t="n">
        <f aca="false">IF(G10&gt;0,MIN((D10+E10)*$Q$8*0.7,G10),0)</f>
        <v>190.446932342</v>
      </c>
      <c r="I10" s="92" t="n">
        <f aca="false">F10*$Q$6</f>
        <v>596.671177189714</v>
      </c>
      <c r="J10" s="92" t="n">
        <f aca="false">IF(G10&gt;0,MAX(H10-I10,0),0)</f>
        <v>0</v>
      </c>
      <c r="K10" s="92" t="n">
        <f aca="false">K9+J10</f>
        <v>0</v>
      </c>
      <c r="L10" s="92" t="n">
        <f aca="false">IF(J10*$Q$9&gt;$Q$10,(J10*$Q$9-$Q$10)*$Q$7,0)</f>
        <v>0</v>
      </c>
      <c r="M10" s="92" t="n">
        <f aca="false">IF(J9*$Q$9&gt;$Q$10,(I10)*$Q$9*$Q$7,IF((J9+I10)*$Q$9&gt;$Q$10,((J9+I10)*$Q$9-$Q$10)*$Q$7,0))</f>
        <v>0</v>
      </c>
      <c r="N10" s="89" t="n">
        <f aca="false">I10-M10-L10</f>
        <v>596.671177189714</v>
      </c>
      <c r="P10" s="14" t="s">
        <v>18</v>
      </c>
      <c r="Q10" s="97" t="n">
        <f aca="false">Übersicht!C12</f>
        <v>801</v>
      </c>
    </row>
    <row r="11" customFormat="false" ht="15" hidden="false" customHeight="false" outlineLevel="0" collapsed="false">
      <c r="A11" s="91" t="n">
        <v>9</v>
      </c>
      <c r="B11" s="92" t="n">
        <f aca="false">IF(Übersicht!$C$13&gt;=A11,-Übersicht!$C$6,IF(A11=Übersicht!$C$13+1,Übersicht!$F$9,0))</f>
        <v>-2400</v>
      </c>
      <c r="C11" s="92" t="n">
        <f aca="false">C10+E11</f>
        <v>29445.5907970183</v>
      </c>
      <c r="D11" s="92" t="n">
        <f aca="false">F10-I10</f>
        <v>32551.7275555722</v>
      </c>
      <c r="E11" s="92" t="n">
        <f aca="false">$Q$4+N10</f>
        <v>2996.67117718971</v>
      </c>
      <c r="F11" s="92" t="n">
        <f aca="false">IF(ISNUMBER(Übersicht!C26),(D11+E11)*(1+Übersicht!C26),(D11+E11)*(1+$Q$5))</f>
        <v>37681.3026567276</v>
      </c>
      <c r="G11" s="92" t="n">
        <f aca="false">F11-(E11+D11)</f>
        <v>2132.90392396571</v>
      </c>
      <c r="H11" s="92" t="n">
        <f aca="false">IF(G11&gt;0,MIN((D11+E11)*$Q$8*0.7,G11),0)</f>
        <v>216.48974828252</v>
      </c>
      <c r="I11" s="92" t="n">
        <f aca="false">F11*$Q$6</f>
        <v>678.263447821097</v>
      </c>
      <c r="J11" s="92" t="n">
        <f aca="false">IF(G11&gt;0,MAX(H11-I11,0),0)</f>
        <v>0</v>
      </c>
      <c r="K11" s="92" t="n">
        <f aca="false">K10+J11</f>
        <v>0</v>
      </c>
      <c r="L11" s="92" t="n">
        <f aca="false">IF(J11*$Q$9&gt;$Q$10,(J11*$Q$9-$Q$10)*$Q$7,0)</f>
        <v>0</v>
      </c>
      <c r="M11" s="92" t="n">
        <f aca="false">IF(J10*$Q$9&gt;$Q$10,(I11)*$Q$9*$Q$7,IF((J10+I11)*$Q$9&gt;$Q$10,((J10+I11)*$Q$9-$Q$10)*$Q$7,0))</f>
        <v>0</v>
      </c>
      <c r="N11" s="89" t="n">
        <f aca="false">I11-M11-L11</f>
        <v>678.263447821097</v>
      </c>
      <c r="P11" s="14" t="s">
        <v>19</v>
      </c>
      <c r="Q11" s="97" t="n">
        <f aca="false">Übersicht!C13</f>
        <v>23</v>
      </c>
    </row>
    <row r="12" customFormat="false" ht="15.75" hidden="false" customHeight="false" outlineLevel="0" collapsed="false">
      <c r="A12" s="91" t="n">
        <v>10</v>
      </c>
      <c r="B12" s="92" t="n">
        <f aca="false">IF(Übersicht!$C$13&gt;=A12,-Übersicht!$C$6,IF(A12=Übersicht!$C$13+1,Übersicht!$F$9,0))</f>
        <v>-2400</v>
      </c>
      <c r="C12" s="92" t="n">
        <f aca="false">C11+E12</f>
        <v>32523.8542448394</v>
      </c>
      <c r="D12" s="92" t="n">
        <f aca="false">F11-I11</f>
        <v>37003.0392089065</v>
      </c>
      <c r="E12" s="92" t="n">
        <f aca="false">$Q$4+N11</f>
        <v>3078.2634478211</v>
      </c>
      <c r="F12" s="92" t="n">
        <f aca="false">IF(ISNUMBER(Übersicht!C27),(D12+E12)*(1+Übersicht!C27),(D12+E12)*(1+$Q$5))</f>
        <v>42486.1808161313</v>
      </c>
      <c r="G12" s="92" t="n">
        <f aca="false">F12-(E12+D12)</f>
        <v>2404.87815940366</v>
      </c>
      <c r="H12" s="92" t="n">
        <f aca="false">IF(G12&gt;0,MIN((D12+E12)*$Q$8*0.7,G12),0)</f>
        <v>244.095133179471</v>
      </c>
      <c r="I12" s="92" t="n">
        <f aca="false">F12*$Q$6</f>
        <v>764.751254690363</v>
      </c>
      <c r="J12" s="92" t="n">
        <f aca="false">IF(G12&gt;0,MAX(H12-I12,0),0)</f>
        <v>0</v>
      </c>
      <c r="K12" s="92" t="n">
        <f aca="false">K11+J12</f>
        <v>0</v>
      </c>
      <c r="L12" s="92" t="n">
        <f aca="false">IF(J12*$Q$9&gt;$Q$10,(J12*$Q$9-$Q$10)*$Q$7,0)</f>
        <v>0</v>
      </c>
      <c r="M12" s="92" t="n">
        <f aca="false">IF(J11*$Q$9&gt;$Q$10,(I12)*$Q$9*$Q$7,IF((J11+I12)*$Q$9&gt;$Q$10,((J11+I12)*$Q$9-$Q$10)*$Q$7,0))</f>
        <v>0</v>
      </c>
      <c r="N12" s="89" t="n">
        <f aca="false">I12-M12-L12</f>
        <v>764.751254690363</v>
      </c>
      <c r="P12" s="98" t="s">
        <v>16</v>
      </c>
      <c r="Q12" s="99" t="n">
        <f aca="true">IRR(B3:INDIRECT("B"&amp;Q11+3),Übersicht!C7*(1-Übersicht!C9))</f>
        <v>0.0542636956846683</v>
      </c>
    </row>
    <row r="13" customFormat="false" ht="15" hidden="false" customHeight="false" outlineLevel="0" collapsed="false">
      <c r="A13" s="91" t="n">
        <v>11</v>
      </c>
      <c r="B13" s="92" t="n">
        <f aca="false">IF(Übersicht!$C$13&gt;=A13,-Übersicht!$C$6,IF(A13=Übersicht!$C$13+1,Übersicht!$F$9,0))</f>
        <v>-2400</v>
      </c>
      <c r="C13" s="92" t="n">
        <f aca="false">C12+E13</f>
        <v>35688.6054995297</v>
      </c>
      <c r="D13" s="92" t="n">
        <f aca="false">F12-I12</f>
        <v>41721.4295614409</v>
      </c>
      <c r="E13" s="92" t="n">
        <f aca="false">$Q$4+N12</f>
        <v>3164.75125469036</v>
      </c>
      <c r="F13" s="92" t="n">
        <f aca="false">IF(ISNUMBER(Übersicht!C28),(D13+E13)*(1+Übersicht!C28),(D13+E13)*(1+$Q$5))</f>
        <v>47579.3516650991</v>
      </c>
      <c r="G13" s="92" t="n">
        <f aca="false">F13-(E13+D13)</f>
        <v>2693.17084896788</v>
      </c>
      <c r="H13" s="92" t="n">
        <f aca="false">IF(G13&gt;0,MIN((D13+E13)*$Q$8*0.7,G13),0)</f>
        <v>273.356841170239</v>
      </c>
      <c r="I13" s="92" t="n">
        <f aca="false">F13*$Q$6</f>
        <v>856.428329971785</v>
      </c>
      <c r="J13" s="92" t="n">
        <f aca="false">IF(G13&gt;0,MAX(H13-I13,0),0)</f>
        <v>0</v>
      </c>
      <c r="K13" s="92" t="n">
        <f aca="false">K12+J13</f>
        <v>0</v>
      </c>
      <c r="L13" s="92" t="n">
        <f aca="false">IF(J13*$Q$9&gt;$Q$10,(J13*$Q$9-$Q$10)*$Q$7,0)</f>
        <v>0</v>
      </c>
      <c r="M13" s="92" t="n">
        <f aca="false">IF(J12*$Q$9&gt;$Q$10,(I13)*$Q$9*$Q$7,IF((J12+I13)*$Q$9&gt;$Q$10,((J12+I13)*$Q$9-$Q$10)*$Q$7,0))</f>
        <v>0</v>
      </c>
      <c r="N13" s="89" t="n">
        <f aca="false">I13-M13-L13</f>
        <v>856.428329971785</v>
      </c>
    </row>
    <row r="14" customFormat="false" ht="15" hidden="false" customHeight="false" outlineLevel="0" collapsed="false">
      <c r="A14" s="91" t="n">
        <v>12</v>
      </c>
      <c r="B14" s="92" t="n">
        <f aca="false">IF(Übersicht!$C$13&gt;=A14,-Übersicht!$C$6,IF(A14=Übersicht!$C$13+1,Übersicht!$F$9,0))</f>
        <v>-2400</v>
      </c>
      <c r="C14" s="92" t="n">
        <f aca="false">C13+E14</f>
        <v>38945.0338295015</v>
      </c>
      <c r="D14" s="92" t="n">
        <f aca="false">F13-I13</f>
        <v>46722.9233351274</v>
      </c>
      <c r="E14" s="92" t="n">
        <f aca="false">$Q$4+N13</f>
        <v>3256.42832997178</v>
      </c>
      <c r="F14" s="92" t="n">
        <f aca="false">IF(ISNUMBER(Übersicht!C29),(D14+E14)*(1+Übersicht!C29),(D14+E14)*(1+$Q$5))</f>
        <v>52978.1127650051</v>
      </c>
      <c r="G14" s="92" t="n">
        <f aca="false">F14-(E14+D14)</f>
        <v>2998.76109990595</v>
      </c>
      <c r="H14" s="92" t="n">
        <f aca="false">IF(G14&gt;0,MIN((D14+E14)*$Q$8*0.7,G14),0)</f>
        <v>304.374251640454</v>
      </c>
      <c r="I14" s="92" t="n">
        <f aca="false">F14*$Q$6</f>
        <v>953.606029770092</v>
      </c>
      <c r="J14" s="92" t="n">
        <f aca="false">IF(G14&gt;0,MAX(H14-I14,0),0)</f>
        <v>0</v>
      </c>
      <c r="K14" s="92" t="n">
        <f aca="false">K13+J14</f>
        <v>0</v>
      </c>
      <c r="L14" s="92" t="n">
        <f aca="false">IF(J14*$Q$9&gt;$Q$10,(J14*$Q$9-$Q$10)*$Q$7,0)</f>
        <v>0</v>
      </c>
      <c r="M14" s="92" t="n">
        <f aca="false">IF(J13*$Q$9&gt;$Q$10,(I14)*$Q$9*$Q$7,IF((J13+I14)*$Q$9&gt;$Q$10,((J13+I14)*$Q$9-$Q$10)*$Q$7,0))</f>
        <v>0</v>
      </c>
      <c r="N14" s="89" t="n">
        <f aca="false">I14-M14-L14</f>
        <v>953.606029770092</v>
      </c>
    </row>
    <row r="15" customFormat="false" ht="15" hidden="false" customHeight="false" outlineLevel="0" collapsed="false">
      <c r="A15" s="91" t="n">
        <v>13</v>
      </c>
      <c r="B15" s="92" t="n">
        <f aca="false">IF(Übersicht!$C$13&gt;=A15,-Übersicht!$C$6,IF(A15=Übersicht!$C$13+1,Übersicht!$F$9,0))</f>
        <v>-2400</v>
      </c>
      <c r="C15" s="92" t="n">
        <f aca="false">C14+E15</f>
        <v>42298.6398592716</v>
      </c>
      <c r="D15" s="92" t="n">
        <f aca="false">F14-I14</f>
        <v>52024.506735235</v>
      </c>
      <c r="E15" s="92" t="n">
        <f aca="false">$Q$4+N14</f>
        <v>3353.60602977009</v>
      </c>
      <c r="F15" s="92" t="n">
        <f aca="false">IF(ISNUMBER(Übersicht!C30),(D15+E15)*(1+Übersicht!C30),(D15+E15)*(1+$Q$5))</f>
        <v>58700.7995309054</v>
      </c>
      <c r="G15" s="92" t="n">
        <f aca="false">F15-(E15+D15)</f>
        <v>3322.68676590031</v>
      </c>
      <c r="H15" s="92" t="n">
        <f aca="false">IF(G15&gt;0,MIN((D15+E15)*$Q$8*0.7,G15),0)</f>
        <v>337.252706738881</v>
      </c>
      <c r="I15" s="92" t="n">
        <f aca="false">F15*$Q$6</f>
        <v>1056.6143915563</v>
      </c>
      <c r="J15" s="92" t="n">
        <f aca="false">IF(G15&gt;0,MAX(H15-I15,0),0)</f>
        <v>0</v>
      </c>
      <c r="K15" s="92" t="n">
        <f aca="false">K14+J15</f>
        <v>0</v>
      </c>
      <c r="L15" s="92" t="n">
        <f aca="false">IF(J15*$Q$9&gt;$Q$10,(J15*$Q$9-$Q$10)*$Q$7,0)</f>
        <v>0</v>
      </c>
      <c r="M15" s="92" t="n">
        <f aca="false">IF(J14*$Q$9&gt;$Q$10,(I15)*$Q$9*$Q$7,IF((J14+I15)*$Q$9&gt;$Q$10,((J14+I15)*$Q$9-$Q$10)*$Q$7,0))</f>
        <v>0</v>
      </c>
      <c r="N15" s="89" t="n">
        <f aca="false">I15-M15-L15</f>
        <v>1056.6143915563</v>
      </c>
    </row>
    <row r="16" customFormat="false" ht="15" hidden="false" customHeight="false" outlineLevel="0" collapsed="false">
      <c r="A16" s="91" t="n">
        <v>14</v>
      </c>
      <c r="B16" s="92" t="n">
        <f aca="false">IF(Übersicht!$C$13&gt;=A16,-Übersicht!$C$6,IF(A16=Übersicht!$C$13+1,Übersicht!$F$9,0))</f>
        <v>-2400</v>
      </c>
      <c r="C16" s="92" t="n">
        <f aca="false">C15+E16</f>
        <v>45755.2542508279</v>
      </c>
      <c r="D16" s="92" t="n">
        <f aca="false">F15-I15</f>
        <v>57644.1851393491</v>
      </c>
      <c r="E16" s="92" t="n">
        <f aca="false">$Q$4+N15</f>
        <v>3456.6143915563</v>
      </c>
      <c r="F16" s="92" t="n">
        <f aca="false">IF(ISNUMBER(Übersicht!C31),(D16+E16)*(1+Übersicht!C31),(D16+E16)*(1+$Q$5))</f>
        <v>64766.8475027597</v>
      </c>
      <c r="G16" s="92" t="n">
        <f aca="false">F16-(E16+D16)</f>
        <v>3666.04797185433</v>
      </c>
      <c r="H16" s="92" t="n">
        <f aca="false">IF(G16&gt;0,MIN((D16+E16)*$Q$8*0.7,G16),0)</f>
        <v>372.103869143214</v>
      </c>
      <c r="I16" s="92" t="n">
        <f aca="false">F16*$Q$6</f>
        <v>1165.80325504968</v>
      </c>
      <c r="J16" s="92" t="n">
        <f aca="false">IF(G16&gt;0,MAX(H16-I16,0),0)</f>
        <v>0</v>
      </c>
      <c r="K16" s="92" t="n">
        <f aca="false">K15+J16</f>
        <v>0</v>
      </c>
      <c r="L16" s="92" t="n">
        <f aca="false">IF(J16*$Q$9&gt;$Q$10,(J16*$Q$9-$Q$10)*$Q$7,0)</f>
        <v>0</v>
      </c>
      <c r="M16" s="92" t="n">
        <f aca="false">IF(J15*$Q$9&gt;$Q$10,(I16)*$Q$9*$Q$7,IF((J15+I16)*$Q$9&gt;$Q$10,((J15+I16)*$Q$9-$Q$10)*$Q$7,0))</f>
        <v>3.97267596354628</v>
      </c>
      <c r="N16" s="89" t="n">
        <f aca="false">I16-M16-L16</f>
        <v>1161.83057908613</v>
      </c>
    </row>
    <row r="17" customFormat="false" ht="15" hidden="false" customHeight="false" outlineLevel="0" collapsed="false">
      <c r="A17" s="91" t="n">
        <v>15</v>
      </c>
      <c r="B17" s="92" t="n">
        <f aca="false">IF(Übersicht!$C$13&gt;=A17,-Übersicht!$C$6,IF(A17=Übersicht!$C$13+1,Übersicht!$F$9,0))</f>
        <v>-2400</v>
      </c>
      <c r="C17" s="92" t="n">
        <f aca="false">C16+E17</f>
        <v>49317.084829914</v>
      </c>
      <c r="D17" s="92" t="n">
        <f aca="false">F16-I16</f>
        <v>63601.0442477101</v>
      </c>
      <c r="E17" s="92" t="n">
        <f aca="false">$Q$4+N16</f>
        <v>3561.83057908613</v>
      </c>
      <c r="F17" s="92" t="n">
        <f aca="false">IF(ISNUMBER(Übersicht!C32),(D17+E17)*(1+Übersicht!C32),(D17+E17)*(1+$Q$5))</f>
        <v>71192.647316404</v>
      </c>
      <c r="G17" s="92" t="n">
        <f aca="false">F17-(E17+D17)</f>
        <v>4029.77248960777</v>
      </c>
      <c r="H17" s="92" t="n">
        <f aca="false">IF(G17&gt;0,MIN((D17+E17)*$Q$8*0.7,G17),0)</f>
        <v>409.021907695189</v>
      </c>
      <c r="I17" s="92" t="n">
        <f aca="false">F17*$Q$6</f>
        <v>1281.46765169527</v>
      </c>
      <c r="J17" s="92" t="n">
        <f aca="false">IF(G17&gt;0,MAX(H17-I17,0),0)</f>
        <v>0</v>
      </c>
      <c r="K17" s="92" t="n">
        <f aca="false">K16+J17</f>
        <v>0</v>
      </c>
      <c r="L17" s="92" t="n">
        <f aca="false">IF(J17*$Q$9&gt;$Q$10,(J17*$Q$9-$Q$10)*$Q$7,0)</f>
        <v>0</v>
      </c>
      <c r="M17" s="92" t="n">
        <f aca="false">IF(J16*$Q$9&gt;$Q$10,(I17)*$Q$9*$Q$7,IF((J16+I17)*$Q$9&gt;$Q$10,((J16+I17)*$Q$9-$Q$10)*$Q$7,0))</f>
        <v>25.3272151942395</v>
      </c>
      <c r="N17" s="89" t="n">
        <f aca="false">I17-M17-L17</f>
        <v>1256.14043650103</v>
      </c>
    </row>
    <row r="18" customFormat="false" ht="15" hidden="false" customHeight="false" outlineLevel="0" collapsed="false">
      <c r="A18" s="91" t="n">
        <v>16</v>
      </c>
      <c r="B18" s="92" t="n">
        <f aca="false">IF(Übersicht!$C$13&gt;=A18,-Übersicht!$C$6,IF(A18=Übersicht!$C$13+1,Übersicht!$F$9,0))</f>
        <v>-2400</v>
      </c>
      <c r="C18" s="92" t="n">
        <f aca="false">C17+E18</f>
        <v>52973.2252664151</v>
      </c>
      <c r="D18" s="92" t="n">
        <f aca="false">F17-I17</f>
        <v>69911.1796647087</v>
      </c>
      <c r="E18" s="92" t="n">
        <f aca="false">$Q$4+N17</f>
        <v>3656.14043650103</v>
      </c>
      <c r="F18" s="92" t="n">
        <f aca="false">IF(ISNUMBER(Übersicht!C33),(D18+E18)*(1+Übersicht!C33),(D18+E18)*(1+$Q$5))</f>
        <v>77981.3593072823</v>
      </c>
      <c r="G18" s="92" t="n">
        <f aca="false">F18-(E18+D18)</f>
        <v>4414.03920607259</v>
      </c>
      <c r="H18" s="92" t="n">
        <f aca="false">IF(G18&gt;0,MIN((D18+E18)*$Q$8*0.7,G18),0)</f>
        <v>448.024979416367</v>
      </c>
      <c r="I18" s="92" t="n">
        <f aca="false">F18*$Q$6</f>
        <v>1403.66446753108</v>
      </c>
      <c r="J18" s="92" t="n">
        <f aca="false">IF(G18&gt;0,MAX(H18-I18,0),0)</f>
        <v>0</v>
      </c>
      <c r="K18" s="92" t="n">
        <f aca="false">K17+J18</f>
        <v>0</v>
      </c>
      <c r="L18" s="92" t="n">
        <f aca="false">IF(J18*$Q$9&gt;$Q$10,(J18*$Q$9-$Q$10)*$Q$7,0)</f>
        <v>0</v>
      </c>
      <c r="M18" s="92" t="n">
        <f aca="false">IF(J17*$Q$9&gt;$Q$10,(I18)*$Q$9*$Q$7,IF((J17+I18)*$Q$9&gt;$Q$10,((J17+I18)*$Q$9-$Q$10)*$Q$7,0))</f>
        <v>47.8878023179259</v>
      </c>
      <c r="N18" s="89" t="n">
        <f aca="false">I18-M18-L18</f>
        <v>1355.77666521316</v>
      </c>
    </row>
    <row r="19" customFormat="false" ht="15" hidden="false" customHeight="false" outlineLevel="0" collapsed="false">
      <c r="A19" s="91" t="n">
        <v>17</v>
      </c>
      <c r="B19" s="92" t="n">
        <f aca="false">IF(Übersicht!$C$13&gt;=A19,-Übersicht!$C$6,IF(A19=Übersicht!$C$13+1,Übersicht!$F$9,0))</f>
        <v>-2400</v>
      </c>
      <c r="C19" s="92" t="n">
        <f aca="false">C18+E19</f>
        <v>56729.0019316282</v>
      </c>
      <c r="D19" s="92" t="n">
        <f aca="false">F18-I18</f>
        <v>76577.6948397512</v>
      </c>
      <c r="E19" s="92" t="n">
        <f aca="false">$Q$4+N18</f>
        <v>3755.77666521316</v>
      </c>
      <c r="F19" s="92" t="n">
        <f aca="false">IF(ISNUMBER(Übersicht!C34),(D19+E19)*(1+Übersicht!C34),(D19+E19)*(1+$Q$5))</f>
        <v>85153.4797952622</v>
      </c>
      <c r="G19" s="92" t="n">
        <f aca="false">F19-(E19+D19)</f>
        <v>4820.00829029786</v>
      </c>
      <c r="H19" s="92" t="n">
        <f aca="false">IF(G19&gt;0,MIN((D19+E19)*$Q$8*0.7,G19),0)</f>
        <v>489.230841465233</v>
      </c>
      <c r="I19" s="92" t="n">
        <f aca="false">F19*$Q$6</f>
        <v>1532.76263631472</v>
      </c>
      <c r="J19" s="92" t="n">
        <f aca="false">IF(G19&gt;0,MAX(H19-I19,0),0)</f>
        <v>0</v>
      </c>
      <c r="K19" s="92" t="n">
        <f aca="false">K18+J19</f>
        <v>0</v>
      </c>
      <c r="L19" s="92" t="n">
        <f aca="false">IF(J19*$Q$9&gt;$Q$10,(J19*$Q$9-$Q$10)*$Q$7,0)</f>
        <v>0</v>
      </c>
      <c r="M19" s="92" t="n">
        <f aca="false">IF(J18*$Q$9&gt;$Q$10,(I19)*$Q$9*$Q$7,IF((J18+I19)*$Q$9&gt;$Q$10,((J18+I19)*$Q$9-$Q$10)*$Q$7,0))</f>
        <v>71.7225517296052</v>
      </c>
      <c r="N19" s="89" t="n">
        <f aca="false">I19-M19-L19</f>
        <v>1461.04008458512</v>
      </c>
      <c r="R19" s="100"/>
    </row>
    <row r="20" customFormat="false" ht="15" hidden="false" customHeight="false" outlineLevel="0" collapsed="false">
      <c r="A20" s="91" t="n">
        <v>18</v>
      </c>
      <c r="B20" s="92" t="n">
        <f aca="false">IF(Übersicht!$C$13&gt;=A20,-Übersicht!$C$6,IF(A20=Übersicht!$C$13+1,Übersicht!$F$9,0))</f>
        <v>-2400</v>
      </c>
      <c r="C20" s="92" t="n">
        <f aca="false">C19+E20</f>
        <v>60590.0420162133</v>
      </c>
      <c r="D20" s="92" t="n">
        <f aca="false">F19-I19</f>
        <v>83620.7171589475</v>
      </c>
      <c r="E20" s="92" t="n">
        <f aca="false">$Q$4+N19</f>
        <v>3861.04008458512</v>
      </c>
      <c r="F20" s="92" t="n">
        <f aca="false">IF(ISNUMBER(Übersicht!C35),(D20+E20)*(1+Übersicht!C35),(D20+E20)*(1+$Q$5))</f>
        <v>92730.6626781446</v>
      </c>
      <c r="G20" s="92" t="n">
        <f aca="false">F20-(E20+D20)</f>
        <v>5248.90543461197</v>
      </c>
      <c r="H20" s="92" t="n">
        <f aca="false">IF(G20&gt;0,MIN((D20+E20)*$Q$8*0.7,G20),0)</f>
        <v>532.763901613114</v>
      </c>
      <c r="I20" s="92" t="n">
        <f aca="false">F20*$Q$6</f>
        <v>1669.1519282066</v>
      </c>
      <c r="J20" s="92" t="n">
        <f aca="false">IF(G20&gt;0,MAX(H20-I20,0),0)</f>
        <v>0</v>
      </c>
      <c r="K20" s="92" t="n">
        <f aca="false">K19+J20</f>
        <v>0</v>
      </c>
      <c r="L20" s="92" t="n">
        <f aca="false">IF(J20*$Q$9&gt;$Q$10,(J20*$Q$9-$Q$10)*$Q$7,0)</f>
        <v>0</v>
      </c>
      <c r="M20" s="92" t="n">
        <f aca="false">IF(J19*$Q$9&gt;$Q$10,(I20)*$Q$9*$Q$7,IF((J19+I20)*$Q$9&gt;$Q$10,((J19+I20)*$Q$9-$Q$10)*$Q$7,0))</f>
        <v>96.903424745144</v>
      </c>
      <c r="N20" s="89" t="n">
        <f aca="false">I20-M20-L20</f>
        <v>1572.24850346146</v>
      </c>
    </row>
    <row r="21" customFormat="false" ht="15" hidden="false" customHeight="false" outlineLevel="0" collapsed="false">
      <c r="A21" s="91" t="n">
        <v>19</v>
      </c>
      <c r="B21" s="92" t="n">
        <f aca="false">IF(Übersicht!$C$13&gt;=A21,-Übersicht!$C$6,IF(A21=Übersicht!$C$13+1,Übersicht!$F$9,0))</f>
        <v>-2400</v>
      </c>
      <c r="C21" s="92" t="n">
        <f aca="false">C20+E21</f>
        <v>64562.2905196748</v>
      </c>
      <c r="D21" s="92" t="n">
        <f aca="false">F20-I20</f>
        <v>91061.510749938</v>
      </c>
      <c r="E21" s="92" t="n">
        <f aca="false">$Q$4+N20</f>
        <v>3972.24850346146</v>
      </c>
      <c r="F21" s="92" t="n">
        <f aca="false">IF(ISNUMBER(Übersicht!C36),(D21+E21)*(1+Übersicht!C36),(D21+E21)*(1+$Q$5))</f>
        <v>100735.784808603</v>
      </c>
      <c r="G21" s="92" t="n">
        <f aca="false">F21-(E21+D21)</f>
        <v>5702.02555520397</v>
      </c>
      <c r="H21" s="92" t="n">
        <f aca="false">IF(G21&gt;0,MIN((D21+E21)*$Q$8*0.7,G21),0)</f>
        <v>578.755593853203</v>
      </c>
      <c r="I21" s="92" t="n">
        <f aca="false">F21*$Q$6</f>
        <v>1813.24412655486</v>
      </c>
      <c r="J21" s="92" t="n">
        <f aca="false">IF(G21&gt;0,MAX(H21-I21,0),0)</f>
        <v>0</v>
      </c>
      <c r="K21" s="92" t="n">
        <f aca="false">K20+J21</f>
        <v>0</v>
      </c>
      <c r="L21" s="92" t="n">
        <f aca="false">IF(J21*$Q$9&gt;$Q$10,(J21*$Q$9-$Q$10)*$Q$7,0)</f>
        <v>0</v>
      </c>
      <c r="M21" s="92" t="n">
        <f aca="false">IF(J20*$Q$9&gt;$Q$10,(I21)*$Q$9*$Q$7,IF((J20+I21)*$Q$9&gt;$Q$10,((J20+I21)*$Q$9-$Q$10)*$Q$7,0))</f>
        <v>123.506446865191</v>
      </c>
      <c r="N21" s="89" t="n">
        <f aca="false">I21-M21-L21</f>
        <v>1689.73767968967</v>
      </c>
    </row>
    <row r="22" customFormat="false" ht="15" hidden="false" customHeight="false" outlineLevel="0" collapsed="false">
      <c r="A22" s="91" t="n">
        <v>20</v>
      </c>
      <c r="B22" s="92" t="n">
        <f aca="false">IF(Übersicht!$C$13&gt;=A22,-Übersicht!$C$6,IF(A22=Übersicht!$C$13+1,Übersicht!$F$9,0))</f>
        <v>-2400</v>
      </c>
      <c r="C22" s="92" t="n">
        <f aca="false">C21+E22</f>
        <v>68652.0281993645</v>
      </c>
      <c r="D22" s="92" t="n">
        <f aca="false">F21-I21</f>
        <v>98922.5406820486</v>
      </c>
      <c r="E22" s="92" t="n">
        <f aca="false">$Q$4+N21</f>
        <v>4089.73767968967</v>
      </c>
      <c r="F22" s="92" t="n">
        <f aca="false">IF(ISNUMBER(Übersicht!C37),(D22+E22)*(1+Übersicht!C37),(D22+E22)*(1+$Q$5))</f>
        <v>109193.015063443</v>
      </c>
      <c r="G22" s="92" t="n">
        <f aca="false">F22-(E22+D22)</f>
        <v>6180.7367017043</v>
      </c>
      <c r="H22" s="92" t="n">
        <f aca="false">IF(G22&gt;0,MIN((D22+E22)*$Q$8*0.7,G22),0)</f>
        <v>627.344775222986</v>
      </c>
      <c r="I22" s="92" t="n">
        <f aca="false">F22*$Q$6</f>
        <v>1965.47427114197</v>
      </c>
      <c r="J22" s="92" t="n">
        <f aca="false">IF(G22&gt;0,MAX(H22-I22,0),0)</f>
        <v>0</v>
      </c>
      <c r="K22" s="92" t="n">
        <f aca="false">K21+J22</f>
        <v>0</v>
      </c>
      <c r="L22" s="92" t="n">
        <f aca="false">IF(J22*$Q$9&gt;$Q$10,(J22*$Q$9-$Q$10)*$Q$7,0)</f>
        <v>0</v>
      </c>
      <c r="M22" s="92" t="n">
        <f aca="false">IF(J21*$Q$9&gt;$Q$10,(I22)*$Q$9*$Q$7,IF((J21+I22)*$Q$9&gt;$Q$10,((J21+I22)*$Q$9-$Q$10)*$Q$7,0))</f>
        <v>151.611937309585</v>
      </c>
      <c r="N22" s="89" t="n">
        <f aca="false">I22-M22-L22</f>
        <v>1813.86233383238</v>
      </c>
    </row>
    <row r="23" customFormat="false" ht="15" hidden="false" customHeight="false" outlineLevel="0" collapsed="false">
      <c r="A23" s="91" t="n">
        <v>21</v>
      </c>
      <c r="B23" s="92" t="n">
        <f aca="false">IF(Übersicht!$C$13&gt;=A23,-Übersicht!$C$6,IF(A23=Übersicht!$C$13+1,Übersicht!$F$9,0))</f>
        <v>-2400</v>
      </c>
      <c r="C23" s="92" t="n">
        <f aca="false">C22+E23</f>
        <v>72865.8905331969</v>
      </c>
      <c r="D23" s="92" t="n">
        <f aca="false">F22-I22</f>
        <v>107227.540792301</v>
      </c>
      <c r="E23" s="92" t="n">
        <f aca="false">$Q$4+N22</f>
        <v>4213.86233383238</v>
      </c>
      <c r="F23" s="92" t="n">
        <f aca="false">IF(ISNUMBER(Übersicht!E18),(D23+E23)*(1+Übersicht!E18),(D23+E23)*(1+$Q$5))</f>
        <v>118127.887313701</v>
      </c>
      <c r="G23" s="92" t="n">
        <f aca="false">F23-(E23+D23)</f>
        <v>6686.48418756799</v>
      </c>
      <c r="H23" s="92" t="n">
        <f aca="false">IF(G23&gt;0,MIN((D23+E23)*$Q$8*0.7,G23),0)</f>
        <v>678.67814503815</v>
      </c>
      <c r="I23" s="92" t="n">
        <f aca="false">F23*$Q$6</f>
        <v>2126.30197164662</v>
      </c>
      <c r="J23" s="92" t="n">
        <f aca="false">IF(G23&gt;0,MAX(H23-I23,0),0)</f>
        <v>0</v>
      </c>
      <c r="K23" s="92" t="n">
        <f aca="false">K22+J23</f>
        <v>0</v>
      </c>
      <c r="L23" s="92" t="n">
        <f aca="false">IF(J23*$Q$9&gt;$Q$10,(J23*$Q$9-$Q$10)*$Q$7,0)</f>
        <v>0</v>
      </c>
      <c r="M23" s="92" t="n">
        <f aca="false">IF(J22*$Q$9&gt;$Q$10,(I23)*$Q$9*$Q$7,IF((J22+I23)*$Q$9&gt;$Q$10,((J22+I23)*$Q$9-$Q$10)*$Q$7,0))</f>
        <v>181.304751515257</v>
      </c>
      <c r="N23" s="89" t="n">
        <f aca="false">I23-M23-L23</f>
        <v>1944.99722013136</v>
      </c>
    </row>
    <row r="24" customFormat="false" ht="15" hidden="false" customHeight="false" outlineLevel="0" collapsed="false">
      <c r="A24" s="91" t="n">
        <v>22</v>
      </c>
      <c r="B24" s="92" t="n">
        <f aca="false">IF(Übersicht!$C$13&gt;=A24,-Übersicht!$C$6,IF(A24=Übersicht!$C$13+1,Übersicht!$F$9,0))</f>
        <v>-2400</v>
      </c>
      <c r="C24" s="92" t="n">
        <f aca="false">C23+E24</f>
        <v>77210.8877533282</v>
      </c>
      <c r="D24" s="92" t="n">
        <f aca="false">F23-I23</f>
        <v>116001.585342054</v>
      </c>
      <c r="E24" s="92" t="n">
        <f aca="false">$Q$4+N23</f>
        <v>4344.99722013136</v>
      </c>
      <c r="F24" s="92" t="n">
        <f aca="false">IF(ISNUMBER(Übersicht!E19),(D24+E24)*(1+Übersicht!E19),(D24+E24)*(1+$Q$5))</f>
        <v>127567.377515917</v>
      </c>
      <c r="G24" s="92" t="n">
        <f aca="false">F24-(E24+D24)</f>
        <v>7220.79495373115</v>
      </c>
      <c r="H24" s="92" t="n">
        <f aca="false">IF(G24&gt;0,MIN((D24+E24)*$Q$8*0.7,G24),0)</f>
        <v>732.910687803711</v>
      </c>
      <c r="I24" s="92" t="n">
        <f aca="false">F24*$Q$6</f>
        <v>2296.2127952865</v>
      </c>
      <c r="J24" s="92" t="n">
        <f aca="false">IF(G24&gt;0,MAX(H24-I24,0),0)</f>
        <v>0</v>
      </c>
      <c r="K24" s="92" t="n">
        <f aca="false">K23+J24</f>
        <v>0</v>
      </c>
      <c r="L24" s="92" t="n">
        <f aca="false">IF(J24*$Q$9&gt;$Q$10,(J24*$Q$9-$Q$10)*$Q$7,0)</f>
        <v>0</v>
      </c>
      <c r="M24" s="92" t="n">
        <f aca="false">IF(J23*$Q$9&gt;$Q$10,(I24)*$Q$9*$Q$7,IF((J23+I24)*$Q$9&gt;$Q$10,((J23+I24)*$Q$9-$Q$10)*$Q$7,0))</f>
        <v>212.674537329771</v>
      </c>
      <c r="N24" s="89" t="n">
        <f aca="false">I24-M24-L24</f>
        <v>2083.53825795673</v>
      </c>
    </row>
    <row r="25" customFormat="false" ht="15" hidden="false" customHeight="false" outlineLevel="0" collapsed="false">
      <c r="A25" s="91" t="n">
        <v>23</v>
      </c>
      <c r="B25" s="92" t="n">
        <f aca="false">IF(Übersicht!$C$13&gt;=A25,-Übersicht!$C$6,IF(A25=Übersicht!$C$13+1,Übersicht!$F$9,0))</f>
        <v>-2400</v>
      </c>
      <c r="C25" s="92" t="n">
        <f aca="false">C24+E25</f>
        <v>81694.426011285</v>
      </c>
      <c r="D25" s="92" t="n">
        <f aca="false">F24-I24</f>
        <v>125271.16472063</v>
      </c>
      <c r="E25" s="92" t="n">
        <f aca="false">$Q$4+N24</f>
        <v>4483.53825795673</v>
      </c>
      <c r="F25" s="92" t="n">
        <f aca="false">IF(ISNUMBER(Übersicht!E20),(D25+E25)*(1+Übersicht!E20),(D25+E25)*(1+$Q$5))</f>
        <v>137539.985157302</v>
      </c>
      <c r="G25" s="92" t="n">
        <f aca="false">F25-(E25+D25)</f>
        <v>7785.28217871522</v>
      </c>
      <c r="H25" s="92" t="n">
        <f aca="false">IF(G25&gt;0,MIN((D25+E25)*$Q$8*0.7,G25),0)</f>
        <v>790.206141139595</v>
      </c>
      <c r="I25" s="92" t="n">
        <f aca="false">F25*$Q$6</f>
        <v>2475.71973283144</v>
      </c>
      <c r="J25" s="92" t="n">
        <f aca="false">IF(G25&gt;0,MAX(H25-I25,0),0)</f>
        <v>0</v>
      </c>
      <c r="K25" s="92" t="n">
        <f aca="false">K24+J25</f>
        <v>0</v>
      </c>
      <c r="L25" s="92" t="n">
        <f aca="false">IF(J25*$Q$9&gt;$Q$10,(J25*$Q$9-$Q$10)*$Q$7,0)</f>
        <v>0</v>
      </c>
      <c r="M25" s="92" t="n">
        <f aca="false">IF(J24*$Q$9&gt;$Q$10,(I25)*$Q$9*$Q$7,IF((J24+I25)*$Q$9&gt;$Q$10,((J24+I25)*$Q$9-$Q$10)*$Q$7,0))</f>
        <v>245.816005674005</v>
      </c>
      <c r="N25" s="89" t="n">
        <f aca="false">I25-M25-L25</f>
        <v>2229.90372715744</v>
      </c>
    </row>
    <row r="26" customFormat="false" ht="15" hidden="false" customHeight="false" outlineLevel="0" collapsed="false">
      <c r="A26" s="91" t="n">
        <v>24</v>
      </c>
      <c r="B26" s="92" t="n">
        <f aca="false">IF(Übersicht!$C$13&gt;=A26,-Übersicht!$C$6,IF(A26=Übersicht!$C$13+1,Übersicht!$F$9,0))</f>
        <v>127440.762549969</v>
      </c>
      <c r="C26" s="92" t="n">
        <f aca="false">C25+E26</f>
        <v>86324.3297384424</v>
      </c>
      <c r="D26" s="92" t="n">
        <f aca="false">F25-I25</f>
        <v>135064.265424471</v>
      </c>
      <c r="E26" s="92" t="n">
        <f aca="false">$Q$4+N25</f>
        <v>4629.90372715744</v>
      </c>
      <c r="F26" s="92" t="n">
        <f aca="false">IF(ISNUMBER(Übersicht!E21),(D26+E26)*(1+Übersicht!E21),(D26+E26)*(1+$Q$5))</f>
        <v>148075.819300726</v>
      </c>
      <c r="G26" s="92" t="n">
        <f aca="false">F26-(E26+D26)</f>
        <v>8381.6501490977</v>
      </c>
      <c r="H26" s="92" t="n">
        <f aca="false">IF(G26&gt;0,MIN((D26+E26)*$Q$8*0.7,G26),0)</f>
        <v>850.737490133416</v>
      </c>
      <c r="I26" s="92" t="n">
        <f aca="false">F26*$Q$6</f>
        <v>2665.36474741307</v>
      </c>
      <c r="J26" s="92" t="n">
        <f aca="false">IF(G26&gt;0,MAX(H26-I26,0),0)</f>
        <v>0</v>
      </c>
      <c r="K26" s="92" t="n">
        <f aca="false">K25+J26</f>
        <v>0</v>
      </c>
      <c r="L26" s="92" t="n">
        <f aca="false">IF(J26*$Q$9&gt;$Q$10,(J26*$Q$9-$Q$10)*$Q$7,0)</f>
        <v>0</v>
      </c>
      <c r="M26" s="92" t="n">
        <f aca="false">IF(J25*$Q$9&gt;$Q$10,(I26)*$Q$9*$Q$7,IF((J25+I26)*$Q$9&gt;$Q$10,((J25+I26)*$Q$9-$Q$10)*$Q$7,0))</f>
        <v>280.829216491138</v>
      </c>
      <c r="N26" s="89" t="n">
        <f aca="false">I26-M26-L26</f>
        <v>2384.53553092193</v>
      </c>
    </row>
    <row r="27" customFormat="false" ht="15" hidden="false" customHeight="false" outlineLevel="0" collapsed="false">
      <c r="A27" s="91" t="n">
        <v>25</v>
      </c>
      <c r="B27" s="92" t="n">
        <f aca="false">IF(Übersicht!$C$13&gt;=A27,-Übersicht!$C$6,IF(A27=Übersicht!$C$13+1,Übersicht!$F$9,0))</f>
        <v>0</v>
      </c>
      <c r="C27" s="92" t="n">
        <f aca="false">C26+E27</f>
        <v>91108.8652693643</v>
      </c>
      <c r="D27" s="92" t="n">
        <f aca="false">F26-I26</f>
        <v>145410.454553313</v>
      </c>
      <c r="E27" s="92" t="n">
        <f aca="false">$Q$4+N26</f>
        <v>4784.53553092193</v>
      </c>
      <c r="F27" s="92" t="n">
        <f aca="false">IF(ISNUMBER(Übersicht!E22),(D27+E27)*(1+Übersicht!E22),(D27+E27)*(1+$Q$5))</f>
        <v>159206.689489289</v>
      </c>
      <c r="G27" s="92" t="n">
        <f aca="false">F27-(E27+D27)</f>
        <v>9011.6994050541</v>
      </c>
      <c r="H27" s="92" t="n">
        <f aca="false">IF(G27&gt;0,MIN((D27+E27)*$Q$8*0.7,G27),0)</f>
        <v>914.687489612991</v>
      </c>
      <c r="I27" s="92" t="n">
        <f aca="false">F27*$Q$6</f>
        <v>2865.7204108072</v>
      </c>
      <c r="J27" s="92" t="n">
        <f aca="false">IF(G27&gt;0,MAX(H27-I27,0),0)</f>
        <v>0</v>
      </c>
      <c r="K27" s="92" t="n">
        <f aca="false">K26+J27</f>
        <v>0</v>
      </c>
      <c r="L27" s="92" t="n">
        <f aca="false">IF(J27*$Q$9&gt;$Q$10,(J27*$Q$9-$Q$10)*$Q$7,0)</f>
        <v>0</v>
      </c>
      <c r="M27" s="92" t="n">
        <f aca="false">IF(J26*$Q$9&gt;$Q$10,(I27)*$Q$9*$Q$7,IF((J26+I27)*$Q$9&gt;$Q$10,((J26+I27)*$Q$9-$Q$10)*$Q$7,0))</f>
        <v>317.81988084528</v>
      </c>
      <c r="N27" s="89" t="n">
        <f aca="false">I27-M27-L27</f>
        <v>2547.90052996192</v>
      </c>
    </row>
    <row r="28" customFormat="false" ht="15" hidden="false" customHeight="false" outlineLevel="0" collapsed="false">
      <c r="A28" s="91" t="n">
        <v>26</v>
      </c>
      <c r="B28" s="92" t="n">
        <f aca="false">IF(Übersicht!$C$13&gt;=A28,-Übersicht!$C$6,IF(A28=Übersicht!$C$13+1,Übersicht!$F$9,0))</f>
        <v>0</v>
      </c>
      <c r="C28" s="92" t="n">
        <f aca="false">C27+E28</f>
        <v>96056.7657993262</v>
      </c>
      <c r="D28" s="92" t="n">
        <f aca="false">F27-I27</f>
        <v>156340.969078482</v>
      </c>
      <c r="E28" s="92" t="n">
        <f aca="false">$Q$4+N27</f>
        <v>4947.90052996192</v>
      </c>
      <c r="F28" s="92" t="n">
        <f aca="false">IF(ISNUMBER(Übersicht!E23),(D28+E28)*(1+Übersicht!E23),(D28+E28)*(1+$Q$5))</f>
        <v>170966.20178495</v>
      </c>
      <c r="G28" s="92" t="n">
        <f aca="false">F28-(E28+D28)</f>
        <v>9677.33217650664</v>
      </c>
      <c r="H28" s="92" t="n">
        <f aca="false">IF(G28&gt;0,MIN((D28+E28)*$Q$8*0.7,G28),0)</f>
        <v>982.249215915422</v>
      </c>
      <c r="I28" s="92" t="n">
        <f aca="false">F28*$Q$6</f>
        <v>3077.39163212911</v>
      </c>
      <c r="J28" s="92" t="n">
        <f aca="false">IF(G28&gt;0,MAX(H28-I28,0),0)</f>
        <v>0</v>
      </c>
      <c r="K28" s="92" t="n">
        <f aca="false">K27+J28</f>
        <v>0</v>
      </c>
      <c r="L28" s="92" t="n">
        <f aca="false">IF(J28*$Q$9&gt;$Q$10,(J28*$Q$9-$Q$10)*$Q$7,0)</f>
        <v>0</v>
      </c>
      <c r="M28" s="92" t="n">
        <f aca="false">IF(J27*$Q$9&gt;$Q$10,(I28)*$Q$9*$Q$7,IF((J27+I28)*$Q$9&gt;$Q$10,((J27+I28)*$Q$9-$Q$10)*$Q$7,0))</f>
        <v>356.899680081836</v>
      </c>
      <c r="N28" s="89" t="n">
        <f aca="false">I28-M28-L28</f>
        <v>2720.49195204727</v>
      </c>
    </row>
    <row r="29" customFormat="false" ht="15" hidden="false" customHeight="false" outlineLevel="0" collapsed="false">
      <c r="A29" s="91" t="n">
        <v>27</v>
      </c>
      <c r="B29" s="92" t="n">
        <f aca="false">IF(Übersicht!$C$13&gt;=A29,-Übersicht!$C$6,IF(A29=Übersicht!$C$13+1,Übersicht!$F$9,0))</f>
        <v>0</v>
      </c>
      <c r="C29" s="92" t="n">
        <f aca="false">C28+E29</f>
        <v>101177.257751374</v>
      </c>
      <c r="D29" s="92" t="n">
        <f aca="false">F28-I28</f>
        <v>167888.810152821</v>
      </c>
      <c r="E29" s="92" t="n">
        <f aca="false">$Q$4+N28</f>
        <v>5120.49195204727</v>
      </c>
      <c r="F29" s="92" t="n">
        <f aca="false">IF(ISNUMBER(Übersicht!E24),(D29+E29)*(1+Übersicht!E24),(D29+E29)*(1+$Q$5))</f>
        <v>183389.860231161</v>
      </c>
      <c r="G29" s="92" t="n">
        <f aca="false">F29-(E29+D29)</f>
        <v>10380.5581262921</v>
      </c>
      <c r="H29" s="92" t="n">
        <f aca="false">IF(G29&gt;0,MIN((D29+E29)*$Q$8*0.7,G29),0)</f>
        <v>1053.62664981865</v>
      </c>
      <c r="I29" s="92" t="n">
        <f aca="false">F29*$Q$6</f>
        <v>3301.01748416089</v>
      </c>
      <c r="J29" s="92" t="n">
        <f aca="false">IF(G29&gt;0,MAX(H29-I29,0),0)</f>
        <v>0</v>
      </c>
      <c r="K29" s="92" t="n">
        <f aca="false">K28+J29</f>
        <v>0</v>
      </c>
      <c r="L29" s="92" t="n">
        <f aca="false">IF(J29*$Q$9&gt;$Q$10,(J29*$Q$9-$Q$10)*$Q$7,0)</f>
        <v>0</v>
      </c>
      <c r="M29" s="92" t="n">
        <f aca="false">IF(J28*$Q$9&gt;$Q$10,(I29)*$Q$9*$Q$7,IF((J28+I29)*$Q$9&gt;$Q$10,((J28+I29)*$Q$9-$Q$10)*$Q$7,0))</f>
        <v>398.186603013205</v>
      </c>
      <c r="N29" s="89" t="n">
        <f aca="false">I29-M29-L29</f>
        <v>2902.83088114769</v>
      </c>
    </row>
    <row r="30" customFormat="false" ht="15" hidden="false" customHeight="false" outlineLevel="0" collapsed="false">
      <c r="A30" s="91" t="n">
        <v>28</v>
      </c>
      <c r="B30" s="92" t="n">
        <f aca="false">IF(Übersicht!$C$13&gt;=A30,-Übersicht!$C$6,IF(A30=Übersicht!$C$13+1,Übersicht!$F$9,0))</f>
        <v>0</v>
      </c>
      <c r="C30" s="92" t="n">
        <f aca="false">C29+E30</f>
        <v>106480.088632521</v>
      </c>
      <c r="D30" s="92" t="n">
        <f aca="false">F29-I29</f>
        <v>180088.842747</v>
      </c>
      <c r="E30" s="92" t="n">
        <f aca="false">$Q$4+N29</f>
        <v>5302.83088114769</v>
      </c>
      <c r="F30" s="92" t="n">
        <f aca="false">IF(ISNUMBER(Übersicht!E25),(D30+E30)*(1+Übersicht!E25),(D30+E30)*(1+$Q$5))</f>
        <v>196515.174045836</v>
      </c>
      <c r="G30" s="92" t="n">
        <f aca="false">F30-(E30+D30)</f>
        <v>11123.5004176889</v>
      </c>
      <c r="H30" s="92" t="n">
        <f aca="false">IF(G30&gt;0,MIN((D30+E30)*$Q$8*0.7,G30),0)</f>
        <v>1129.03529239542</v>
      </c>
      <c r="I30" s="92" t="n">
        <f aca="false">F30*$Q$6</f>
        <v>3537.27313282505</v>
      </c>
      <c r="J30" s="92" t="n">
        <f aca="false">IF(G30&gt;0,MAX(H30-I30,0),0)</f>
        <v>0</v>
      </c>
      <c r="K30" s="92" t="n">
        <f aca="false">K29+J30</f>
        <v>0</v>
      </c>
      <c r="L30" s="92" t="n">
        <f aca="false">IF(J30*$Q$9&gt;$Q$10,(J30*$Q$9-$Q$10)*$Q$7,0)</f>
        <v>0</v>
      </c>
      <c r="M30" s="92" t="n">
        <f aca="false">IF(J29*$Q$9&gt;$Q$10,(I30)*$Q$9*$Q$7,IF((J29+I30)*$Q$9&gt;$Q$10,((J29+I30)*$Q$9-$Q$10)*$Q$7,0))</f>
        <v>441.805302147825</v>
      </c>
      <c r="N30" s="89" t="n">
        <f aca="false">I30-M30-L30</f>
        <v>3095.46783067723</v>
      </c>
    </row>
    <row r="31" customFormat="false" ht="15" hidden="false" customHeight="false" outlineLevel="0" collapsed="false">
      <c r="A31" s="91" t="n">
        <v>29</v>
      </c>
      <c r="B31" s="92" t="n">
        <f aca="false">IF(Übersicht!$C$13&gt;=A31,-Übersicht!$C$6,IF(A31=Übersicht!$C$13+1,Übersicht!$F$9,0))</f>
        <v>0</v>
      </c>
      <c r="C31" s="92" t="n">
        <f aca="false">C30+E31</f>
        <v>111975.556463198</v>
      </c>
      <c r="D31" s="92" t="n">
        <f aca="false">F30-I30</f>
        <v>192977.900913011</v>
      </c>
      <c r="E31" s="92" t="n">
        <f aca="false">$Q$4+N30</f>
        <v>5495.46783067723</v>
      </c>
      <c r="F31" s="92" t="n">
        <f aca="false">IF(ISNUMBER(Übersicht!E26),(D31+E31)*(1+Übersicht!E26),(D31+E31)*(1+$Q$5))</f>
        <v>210381.77086831</v>
      </c>
      <c r="G31" s="92" t="n">
        <f aca="false">F31-(E31+D31)</f>
        <v>11908.4021246213</v>
      </c>
      <c r="H31" s="92" t="n">
        <f aca="false">IF(G31&gt;0,MIN((D31+E31)*$Q$8*0.7,G31),0)</f>
        <v>1208.70281564906</v>
      </c>
      <c r="I31" s="92" t="n">
        <f aca="false">F31*$Q$6</f>
        <v>3786.87187562958</v>
      </c>
      <c r="J31" s="92" t="n">
        <f aca="false">IF(G31&gt;0,MAX(H31-I31,0),0)</f>
        <v>0</v>
      </c>
      <c r="K31" s="92" t="n">
        <f aca="false">K30+J31</f>
        <v>0</v>
      </c>
      <c r="L31" s="92" t="n">
        <f aca="false">IF(J31*$Q$9&gt;$Q$10,(J31*$Q$9-$Q$10)*$Q$7,0)</f>
        <v>0</v>
      </c>
      <c r="M31" s="92" t="n">
        <f aca="false">IF(J30*$Q$9&gt;$Q$10,(I31)*$Q$9*$Q$7,IF((J30+I31)*$Q$9&gt;$Q$10,((J30+I31)*$Q$9-$Q$10)*$Q$7,0))</f>
        <v>487.88747003811</v>
      </c>
      <c r="N31" s="89" t="n">
        <f aca="false">I31-M31-L31</f>
        <v>3298.98440559147</v>
      </c>
    </row>
    <row r="32" customFormat="false" ht="15" hidden="false" customHeight="false" outlineLevel="0" collapsed="false">
      <c r="A32" s="91" t="n">
        <v>30</v>
      </c>
      <c r="B32" s="92" t="n">
        <f aca="false">IF(Übersicht!$C$13&gt;=A32,-Übersicht!$C$6,IF(A32=Übersicht!$C$13+1,Übersicht!$F$9,0))</f>
        <v>0</v>
      </c>
      <c r="C32" s="92" t="n">
        <f aca="false">C31+E32</f>
        <v>117674.54086879</v>
      </c>
      <c r="D32" s="92" t="n">
        <f aca="false">F31-I31</f>
        <v>206594.89899268</v>
      </c>
      <c r="E32" s="92" t="n">
        <f aca="false">$Q$4+N31</f>
        <v>5698.98440559147</v>
      </c>
      <c r="F32" s="92" t="n">
        <f aca="false">IF(ISNUMBER(Übersicht!E27),(D32+E32)*(1+Übersicht!E27),(D32+E32)*(1+$Q$5))</f>
        <v>225031.516402168</v>
      </c>
      <c r="G32" s="92" t="n">
        <f aca="false">F32-(E32+D32)</f>
        <v>12737.6330038963</v>
      </c>
      <c r="H32" s="92" t="n">
        <f aca="false">IF(G32&gt;0,MIN((D32+E32)*$Q$8*0.7,G32),0)</f>
        <v>1292.86974989547</v>
      </c>
      <c r="I32" s="92" t="n">
        <f aca="false">F32*$Q$6</f>
        <v>4050.56729523902</v>
      </c>
      <c r="J32" s="92" t="n">
        <f aca="false">IF(G32&gt;0,MAX(H32-I32,0),0)</f>
        <v>0</v>
      </c>
      <c r="K32" s="92" t="n">
        <f aca="false">K31+J32</f>
        <v>0</v>
      </c>
      <c r="L32" s="92" t="n">
        <f aca="false">IF(J32*$Q$9&gt;$Q$10,(J32*$Q$9-$Q$10)*$Q$7,0)</f>
        <v>0</v>
      </c>
      <c r="M32" s="92" t="n">
        <f aca="false">IF(J31*$Q$9&gt;$Q$10,(I32)*$Q$9*$Q$7,IF((J31+I32)*$Q$9&gt;$Q$10,((J31+I32)*$Q$9-$Q$10)*$Q$7,0))</f>
        <v>536.572236883505</v>
      </c>
      <c r="N32" s="89" t="n">
        <f aca="false">I32-M32-L32</f>
        <v>3513.99505835552</v>
      </c>
    </row>
    <row r="33" customFormat="false" ht="15" hidden="false" customHeight="false" outlineLevel="0" collapsed="false">
      <c r="A33" s="91" t="n">
        <v>31</v>
      </c>
      <c r="B33" s="92" t="n">
        <f aca="false">IF(Übersicht!$C$13&gt;=A33,-Übersicht!$C$6,IF(A33=Übersicht!$C$13+1,Übersicht!$F$9,0))</f>
        <v>0</v>
      </c>
      <c r="C33" s="92" t="n">
        <f aca="false">C32+E33</f>
        <v>123588.535927145</v>
      </c>
      <c r="D33" s="92" t="n">
        <f aca="false">F32-I32</f>
        <v>220980.949106929</v>
      </c>
      <c r="E33" s="92" t="n">
        <f aca="false">$Q$4+N32</f>
        <v>5913.99505835552</v>
      </c>
      <c r="F33" s="92" t="n">
        <f aca="false">IF(ISNUMBER(Übersicht!E28),(D33+E33)*(1+Übersicht!E28),(D33+E33)*(1+$Q$5))</f>
        <v>240508.640815202</v>
      </c>
      <c r="G33" s="92" t="n">
        <f aca="false">F33-(E33+D33)</f>
        <v>13613.6966499171</v>
      </c>
      <c r="H33" s="92" t="n">
        <f aca="false">IF(G33&gt;0,MIN((D33+E33)*$Q$8*0.7,G33),0)</f>
        <v>1381.79020996658</v>
      </c>
      <c r="I33" s="92" t="n">
        <f aca="false">F33*$Q$6</f>
        <v>4329.15553467363</v>
      </c>
      <c r="J33" s="92" t="n">
        <f aca="false">IF(G33&gt;0,MAX(H33-I33,0),0)</f>
        <v>0</v>
      </c>
      <c r="K33" s="92" t="n">
        <f aca="false">K32+J33</f>
        <v>0</v>
      </c>
      <c r="L33" s="92" t="n">
        <f aca="false">IF(J33*$Q$9&gt;$Q$10,(J33*$Q$9-$Q$10)*$Q$7,0)</f>
        <v>0</v>
      </c>
      <c r="M33" s="92" t="n">
        <f aca="false">IF(J32*$Q$9&gt;$Q$10,(I33)*$Q$9*$Q$7,IF((J32+I33)*$Q$9&gt;$Q$10,((J32+I33)*$Q$9-$Q$10)*$Q$7,0))</f>
        <v>588.006590589118</v>
      </c>
      <c r="N33" s="89" t="n">
        <f aca="false">I33-M33-L33</f>
        <v>3741.14894408451</v>
      </c>
    </row>
    <row r="34" customFormat="false" ht="15" hidden="false" customHeight="false" outlineLevel="0" collapsed="false">
      <c r="A34" s="91" t="n">
        <v>32</v>
      </c>
      <c r="B34" s="92" t="n">
        <f aca="false">IF(Übersicht!$C$13&gt;=A34,-Übersicht!$C$6,IF(A34=Übersicht!$C$13+1,Übersicht!$F$9,0))</f>
        <v>0</v>
      </c>
      <c r="C34" s="92" t="n">
        <f aca="false">C33+E34</f>
        <v>129729.68487123</v>
      </c>
      <c r="D34" s="92" t="n">
        <f aca="false">F33-I33</f>
        <v>236179.485280528</v>
      </c>
      <c r="E34" s="92" t="n">
        <f aca="false">$Q$4+N33</f>
        <v>6141.14894408451</v>
      </c>
      <c r="F34" s="92" t="n">
        <f aca="false">IF(ISNUMBER(Übersicht!E29),(D34+E34)*(1+Übersicht!E29),(D34+E34)*(1+$Q$5))</f>
        <v>256859.872278089</v>
      </c>
      <c r="G34" s="92" t="n">
        <f aca="false">F34-(E34+D34)</f>
        <v>14539.2380534768</v>
      </c>
      <c r="H34" s="92" t="n">
        <f aca="false">IF(G34&gt;0,MIN((D34+E34)*$Q$8*0.7,G34),0)</f>
        <v>1475.73266242789</v>
      </c>
      <c r="I34" s="92" t="n">
        <f aca="false">F34*$Q$6</f>
        <v>4623.47770100561</v>
      </c>
      <c r="J34" s="92" t="n">
        <f aca="false">IF(G34&gt;0,MAX(H34-I34,0),0)</f>
        <v>0</v>
      </c>
      <c r="K34" s="92" t="n">
        <f aca="false">K33+J34</f>
        <v>0</v>
      </c>
      <c r="L34" s="92" t="n">
        <f aca="false">IF(J34*$Q$9&gt;$Q$10,(J34*$Q$9-$Q$10)*$Q$7,0)</f>
        <v>0</v>
      </c>
      <c r="M34" s="92" t="n">
        <f aca="false">IF(J33*$Q$9&gt;$Q$10,(I34)*$Q$9*$Q$7,IF((J33+I34)*$Q$9&gt;$Q$10,((J33+I34)*$Q$9-$Q$10)*$Q$7,0))</f>
        <v>642.34582054816</v>
      </c>
      <c r="N34" s="89" t="n">
        <f aca="false">I34-M34-L34</f>
        <v>3981.13188045745</v>
      </c>
    </row>
    <row r="35" customFormat="false" ht="15" hidden="false" customHeight="false" outlineLevel="0" collapsed="false">
      <c r="A35" s="91" t="n">
        <v>33</v>
      </c>
      <c r="B35" s="92" t="n">
        <f aca="false">IF(Übersicht!$C$13&gt;=A35,-Übersicht!$C$6,IF(A35=Übersicht!$C$13+1,Übersicht!$F$9,0))</f>
        <v>0</v>
      </c>
      <c r="C35" s="92" t="n">
        <f aca="false">C34+E35</f>
        <v>136110.816751687</v>
      </c>
      <c r="D35" s="92" t="n">
        <f aca="false">F34-I34</f>
        <v>252236.394577084</v>
      </c>
      <c r="E35" s="92" t="n">
        <f aca="false">$Q$4+N34</f>
        <v>6381.13188045745</v>
      </c>
      <c r="F35" s="92" t="n">
        <f aca="false">IF(ISNUMBER(Übersicht!E30),(D35+E35)*(1+Übersicht!E30),(D35+E35)*(1+$Q$5))</f>
        <v>274134.578044994</v>
      </c>
      <c r="G35" s="92" t="n">
        <f aca="false">F35-(E35+D35)</f>
        <v>15517.0515874525</v>
      </c>
      <c r="H35" s="92" t="n">
        <f aca="false">IF(G35&gt;0,MIN((D35+E35)*$Q$8*0.7,G35),0)</f>
        <v>1574.98073612642</v>
      </c>
      <c r="I35" s="92" t="n">
        <f aca="false">F35*$Q$6</f>
        <v>4934.42240480988</v>
      </c>
      <c r="J35" s="92" t="n">
        <f aca="false">IF(G35&gt;0,MAX(H35-I35,0),0)</f>
        <v>0</v>
      </c>
      <c r="K35" s="92" t="n">
        <f aca="false">K34+J35</f>
        <v>0</v>
      </c>
      <c r="L35" s="92" t="n">
        <f aca="false">IF(J35*$Q$9&gt;$Q$10,(J35*$Q$9-$Q$10)*$Q$7,0)</f>
        <v>0</v>
      </c>
      <c r="M35" s="92" t="n">
        <f aca="false">IF(J34*$Q$9&gt;$Q$10,(I35)*$Q$9*$Q$7,IF((J34+I35)*$Q$9&gt;$Q$10,((J34+I35)*$Q$9-$Q$10)*$Q$7,0))</f>
        <v>699.753986488025</v>
      </c>
      <c r="N35" s="89" t="n">
        <f aca="false">I35-M35-L35</f>
        <v>4234.66841832186</v>
      </c>
    </row>
    <row r="36" customFormat="false" ht="15" hidden="false" customHeight="false" outlineLevel="0" collapsed="false">
      <c r="A36" s="91" t="n">
        <v>34</v>
      </c>
      <c r="B36" s="92" t="n">
        <f aca="false">IF(Übersicht!$C$13&gt;=A36,-Übersicht!$C$6,IF(A36=Übersicht!$C$13+1,Übersicht!$F$9,0))</f>
        <v>0</v>
      </c>
      <c r="C36" s="92" t="n">
        <f aca="false">C35+E36</f>
        <v>142745.485170009</v>
      </c>
      <c r="D36" s="92" t="n">
        <f aca="false">F35-I35</f>
        <v>269200.155640184</v>
      </c>
      <c r="E36" s="92" t="n">
        <f aca="false">$Q$4+N35</f>
        <v>6634.66841832186</v>
      </c>
      <c r="F36" s="92" t="n">
        <f aca="false">IF(ISNUMBER(Übersicht!E31),(D36+E36)*(1+Übersicht!E31),(D36+E36)*(1+$Q$5))</f>
        <v>292384.913502016</v>
      </c>
      <c r="G36" s="92" t="n">
        <f aca="false">F36-(E36+D36)</f>
        <v>16550.0894435103</v>
      </c>
      <c r="H36" s="92" t="n">
        <f aca="false">IF(G36&gt;0,MIN((D36+E36)*$Q$8*0.7,G36),0)</f>
        <v>1679.8340785163</v>
      </c>
      <c r="I36" s="92" t="n">
        <f aca="false">F36*$Q$6</f>
        <v>5262.92844303628</v>
      </c>
      <c r="J36" s="92" t="n">
        <f aca="false">IF(G36&gt;0,MAX(H36-I36,0),0)</f>
        <v>0</v>
      </c>
      <c r="K36" s="92" t="n">
        <f aca="false">K35+J36</f>
        <v>0</v>
      </c>
      <c r="L36" s="92" t="n">
        <f aca="false">IF(J36*$Q$9&gt;$Q$10,(J36*$Q$9-$Q$10)*$Q$7,0)</f>
        <v>0</v>
      </c>
      <c r="M36" s="92" t="n">
        <f aca="false">IF(J35*$Q$9&gt;$Q$10,(I36)*$Q$9*$Q$7,IF((J35+I36)*$Q$9&gt;$Q$10,((J35+I36)*$Q$9-$Q$10)*$Q$7,0))</f>
        <v>760.404413795574</v>
      </c>
      <c r="N36" s="89" t="n">
        <f aca="false">I36-M36-L36</f>
        <v>4502.52402924071</v>
      </c>
    </row>
    <row r="37" customFormat="false" ht="15" hidden="false" customHeight="false" outlineLevel="0" collapsed="false">
      <c r="A37" s="91" t="n">
        <v>35</v>
      </c>
      <c r="B37" s="92" t="n">
        <f aca="false">IF(Übersicht!$C$13&gt;=A37,-Übersicht!$C$6,IF(A37=Übersicht!$C$13+1,Übersicht!$F$9,0))</f>
        <v>0</v>
      </c>
      <c r="C37" s="92" t="n">
        <f aca="false">C36+E37</f>
        <v>149648.00919925</v>
      </c>
      <c r="D37" s="92" t="n">
        <f aca="false">F36-I36</f>
        <v>287121.98505898</v>
      </c>
      <c r="E37" s="92" t="n">
        <f aca="false">$Q$4+N36</f>
        <v>6902.52402924071</v>
      </c>
      <c r="F37" s="92" t="n">
        <f aca="false">IF(ISNUMBER(Übersicht!E32),(D37+E37)*(1+Übersicht!E32),(D37+E37)*(1+$Q$5))</f>
        <v>311665.979633514</v>
      </c>
      <c r="G37" s="92" t="n">
        <f aca="false">F37-(E37+D37)</f>
        <v>17641.4705452932</v>
      </c>
      <c r="H37" s="92" t="n">
        <f aca="false">IF(G37&gt;0,MIN((D37+E37)*$Q$8*0.7,G37),0)</f>
        <v>1790.60926034726</v>
      </c>
      <c r="I37" s="92" t="n">
        <f aca="false">F37*$Q$6</f>
        <v>5609.98763340324</v>
      </c>
      <c r="J37" s="92" t="n">
        <f aca="false">IF(G37&gt;0,MAX(H37-I37,0),0)</f>
        <v>0</v>
      </c>
      <c r="K37" s="92" t="n">
        <f aca="false">K36+J37</f>
        <v>0</v>
      </c>
      <c r="L37" s="92" t="n">
        <f aca="false">IF(J37*$Q$9&gt;$Q$10,(J37*$Q$9-$Q$10)*$Q$7,0)</f>
        <v>0</v>
      </c>
      <c r="M37" s="92" t="n">
        <f aca="false">IF(J36*$Q$9&gt;$Q$10,(I37)*$Q$9*$Q$7,IF((J36+I37)*$Q$9&gt;$Q$10,((J36+I37)*$Q$9-$Q$10)*$Q$7,0))</f>
        <v>824.480216817074</v>
      </c>
      <c r="N37" s="89" t="n">
        <f aca="false">I37-M37-L37</f>
        <v>4785.50741658617</v>
      </c>
    </row>
    <row r="38" customFormat="false" ht="15" hidden="false" customHeight="false" outlineLevel="0" collapsed="false">
      <c r="A38" s="91" t="n">
        <v>36</v>
      </c>
      <c r="B38" s="92" t="n">
        <f aca="false">IF(Übersicht!$C$13&gt;=A38,-Übersicht!$C$6,IF(A38=Übersicht!$C$13+1,Übersicht!$F$9,0))</f>
        <v>0</v>
      </c>
      <c r="C38" s="92" t="n">
        <f aca="false">C37+E38</f>
        <v>156833.516615836</v>
      </c>
      <c r="D38" s="92" t="n">
        <f aca="false">F37-I37</f>
        <v>306055.99200011</v>
      </c>
      <c r="E38" s="92" t="n">
        <f aca="false">$Q$4+N37</f>
        <v>7185.50741658617</v>
      </c>
      <c r="F38" s="92" t="n">
        <f aca="false">IF(ISNUMBER(Übersicht!E33),(D38+E38)*(1+Übersicht!E33),(D38+E38)*(1+$Q$5))</f>
        <v>332035.989381698</v>
      </c>
      <c r="G38" s="92" t="n">
        <f aca="false">F38-(E38+D38)</f>
        <v>18794.4899650018</v>
      </c>
      <c r="H38" s="92" t="n">
        <f aca="false">IF(G38&gt;0,MIN((D38+E38)*$Q$8*0.7,G38),0)</f>
        <v>1907.64073144768</v>
      </c>
      <c r="I38" s="92" t="n">
        <f aca="false">F38*$Q$6</f>
        <v>5976.64780887057</v>
      </c>
      <c r="J38" s="92" t="n">
        <f aca="false">IF(G38&gt;0,MAX(H38-I38,0),0)</f>
        <v>0</v>
      </c>
      <c r="K38" s="92" t="n">
        <f aca="false">K37+J38</f>
        <v>0</v>
      </c>
      <c r="L38" s="92" t="n">
        <f aca="false">IF(J38*$Q$9&gt;$Q$10,(J38*$Q$9-$Q$10)*$Q$7,0)</f>
        <v>0</v>
      </c>
      <c r="M38" s="92" t="n">
        <f aca="false">IF(J37*$Q$9&gt;$Q$10,(I38)*$Q$9*$Q$7,IF((J37+I38)*$Q$9&gt;$Q$10,((J37+I38)*$Q$9-$Q$10)*$Q$7,0))</f>
        <v>892.174851712729</v>
      </c>
      <c r="N38" s="89" t="n">
        <f aca="false">I38-M38-L38</f>
        <v>5084.47295715784</v>
      </c>
    </row>
    <row r="39" customFormat="false" ht="15" hidden="false" customHeight="false" outlineLevel="0" collapsed="false">
      <c r="A39" s="91" t="n">
        <v>37</v>
      </c>
      <c r="B39" s="92" t="n">
        <f aca="false">IF(Übersicht!$C$13&gt;=A39,-Übersicht!$C$6,IF(A39=Übersicht!$C$13+1,Übersicht!$F$9,0))</f>
        <v>0</v>
      </c>
      <c r="C39" s="92" t="n">
        <f aca="false">C38+E39</f>
        <v>164317.989572994</v>
      </c>
      <c r="D39" s="92" t="n">
        <f aca="false">F38-I38</f>
        <v>326059.341572828</v>
      </c>
      <c r="E39" s="92" t="n">
        <f aca="false">$Q$4+N38</f>
        <v>7484.47295715784</v>
      </c>
      <c r="F39" s="92" t="n">
        <f aca="false">IF(ISNUMBER(Übersicht!E34),(D39+E39)*(1+Übersicht!E34),(D39+E39)*(1+$Q$5))</f>
        <v>353556.443401785</v>
      </c>
      <c r="G39" s="92" t="n">
        <f aca="false">F39-(E39+D39)</f>
        <v>20012.6288717992</v>
      </c>
      <c r="H39" s="92" t="n">
        <f aca="false">IF(G39&gt;0,MIN((D39+E39)*$Q$8*0.7,G39),0)</f>
        <v>2031.28183048761</v>
      </c>
      <c r="I39" s="92" t="n">
        <f aca="false">F39*$Q$6</f>
        <v>6364.01598123212</v>
      </c>
      <c r="J39" s="92" t="n">
        <f aca="false">IF(G39&gt;0,MAX(H39-I39,0),0)</f>
        <v>0</v>
      </c>
      <c r="K39" s="92" t="n">
        <f aca="false">K38+J39</f>
        <v>0</v>
      </c>
      <c r="L39" s="92" t="n">
        <f aca="false">IF(J39*$Q$9&gt;$Q$10,(J39*$Q$9-$Q$10)*$Q$7,0)</f>
        <v>0</v>
      </c>
      <c r="M39" s="92" t="n">
        <f aca="false">IF(J38*$Q$9&gt;$Q$10,(I39)*$Q$9*$Q$7,IF((J38+I39)*$Q$9&gt;$Q$10,((J38+I39)*$Q$9-$Q$10)*$Q$7,0))</f>
        <v>963.692700534981</v>
      </c>
      <c r="N39" s="89" t="n">
        <f aca="false">I39-M39-L39</f>
        <v>5400.32328069714</v>
      </c>
    </row>
    <row r="40" customFormat="false" ht="15" hidden="false" customHeight="false" outlineLevel="0" collapsed="false">
      <c r="A40" s="91" t="n">
        <v>38</v>
      </c>
      <c r="B40" s="92" t="n">
        <f aca="false">IF(Übersicht!$C$13&gt;=A40,-Übersicht!$C$6,IF(A40=Übersicht!$C$13+1,Übersicht!$F$9,0))</f>
        <v>0</v>
      </c>
      <c r="C40" s="92" t="n">
        <f aca="false">C39+E40</f>
        <v>172118.312853691</v>
      </c>
      <c r="D40" s="92" t="n">
        <f aca="false">F39-I39</f>
        <v>347192.427420553</v>
      </c>
      <c r="E40" s="92" t="n">
        <f aca="false">$Q$4+N39</f>
        <v>7800.32328069714</v>
      </c>
      <c r="F40" s="92" t="n">
        <f aca="false">IF(ISNUMBER(Übersicht!E35),(D40+E40)*(1+Übersicht!E35),(D40+E40)*(1+$Q$5))</f>
        <v>376292.315743325</v>
      </c>
      <c r="G40" s="92" t="n">
        <f aca="false">F40-(E40+D40)</f>
        <v>21299.565042075</v>
      </c>
      <c r="H40" s="92" t="n">
        <f aca="false">IF(G40&gt;0,MIN((D40+E40)*$Q$8*0.7,G40),0)</f>
        <v>2161.90585177061</v>
      </c>
      <c r="I40" s="92" t="n">
        <f aca="false">F40*$Q$6</f>
        <v>6773.26168337985</v>
      </c>
      <c r="J40" s="92" t="n">
        <f aca="false">IF(G40&gt;0,MAX(H40-I40,0),0)</f>
        <v>0</v>
      </c>
      <c r="K40" s="92" t="n">
        <f aca="false">K39+J40</f>
        <v>0</v>
      </c>
      <c r="L40" s="92" t="n">
        <f aca="false">IF(J40*$Q$9&gt;$Q$10,(J40*$Q$9-$Q$10)*$Q$7,0)</f>
        <v>0</v>
      </c>
      <c r="M40" s="92" t="n">
        <f aca="false">IF(J39*$Q$9&gt;$Q$10,(I40)*$Q$9*$Q$7,IF((J39+I40)*$Q$9&gt;$Q$10,((J39+I40)*$Q$9-$Q$10)*$Q$7,0))</f>
        <v>1039.249688294</v>
      </c>
      <c r="N40" s="89" t="n">
        <f aca="false">I40-M40-L40</f>
        <v>5734.01199508584</v>
      </c>
    </row>
    <row r="41" customFormat="false" ht="15" hidden="false" customHeight="false" outlineLevel="0" collapsed="false">
      <c r="A41" s="91" t="n">
        <v>39</v>
      </c>
      <c r="B41" s="92" t="n">
        <f aca="false">IF(Übersicht!$C$13&gt;=A41,-Übersicht!$C$6,IF(A41=Übersicht!$C$13+1,Übersicht!$F$9,0))</f>
        <v>0</v>
      </c>
      <c r="C41" s="92" t="n">
        <f aca="false">C40+E41</f>
        <v>180252.324848777</v>
      </c>
      <c r="D41" s="92" t="n">
        <f aca="false">F40-I40</f>
        <v>369519.054059945</v>
      </c>
      <c r="E41" s="92" t="n">
        <f aca="false">$Q$4+N40</f>
        <v>8134.01199508584</v>
      </c>
      <c r="F41" s="92" t="n">
        <f aca="false">IF(ISNUMBER(Übersicht!E36),(D41+E41)*(1+Übersicht!E36),(D41+E41)*(1+$Q$5))</f>
        <v>400312.250018333</v>
      </c>
      <c r="G41" s="92" t="n">
        <f aca="false">F41-(E41+D41)</f>
        <v>22659.1839633019</v>
      </c>
      <c r="H41" s="92" t="n">
        <f aca="false">IF(G41&gt;0,MIN((D41+E41)*$Q$8*0.7,G41),0)</f>
        <v>2299.90717227514</v>
      </c>
      <c r="I41" s="92" t="n">
        <f aca="false">F41*$Q$6</f>
        <v>7205.62050032999</v>
      </c>
      <c r="J41" s="92" t="n">
        <f aca="false">IF(G41&gt;0,MAX(H41-I41,0),0)</f>
        <v>0</v>
      </c>
      <c r="K41" s="92" t="n">
        <f aca="false">K40+J41</f>
        <v>0</v>
      </c>
      <c r="L41" s="92" t="n">
        <f aca="false">IF(J41*$Q$9&gt;$Q$10,(J41*$Q$9-$Q$10)*$Q$7,0)</f>
        <v>0</v>
      </c>
      <c r="M41" s="92" t="n">
        <f aca="false">IF(J40*$Q$9&gt;$Q$10,(I41)*$Q$9*$Q$7,IF((J40+I41)*$Q$9&gt;$Q$10,((J40+I41)*$Q$9-$Q$10)*$Q$7,0))</f>
        <v>1119.07393487342</v>
      </c>
      <c r="N41" s="89" t="n">
        <f aca="false">I41-M41-L41</f>
        <v>6086.54656545656</v>
      </c>
    </row>
    <row r="42" customFormat="false" ht="15" hidden="false" customHeight="false" outlineLevel="0" collapsed="false">
      <c r="A42" s="91" t="n">
        <v>40</v>
      </c>
      <c r="B42" s="92" t="n">
        <f aca="false">IF(Übersicht!$C$13&gt;=A42,-Übersicht!$C$6,IF(A42=Übersicht!$C$13+1,Übersicht!$F$9,0))</f>
        <v>0</v>
      </c>
      <c r="C42" s="92" t="n">
        <f aca="false">C41+E42</f>
        <v>188738.871414233</v>
      </c>
      <c r="D42" s="92" t="n">
        <f aca="false">F41-I41</f>
        <v>393106.629518003</v>
      </c>
      <c r="E42" s="92" t="n">
        <f aca="false">$Q$4+N41</f>
        <v>8486.54656545656</v>
      </c>
      <c r="F42" s="92" t="n">
        <f aca="false">IF(ISNUMBER(Übersicht!E37),(D42+E42)*(1+Übersicht!E37),(D42+E42)*(1+$Q$5))</f>
        <v>425688.766648467</v>
      </c>
      <c r="G42" s="92" t="n">
        <f aca="false">F42-(E42+D42)</f>
        <v>24095.5905650076</v>
      </c>
      <c r="H42" s="92" t="n">
        <f aca="false">IF(G42&gt;0,MIN((D42+E42)*$Q$8*0.7,G42),0)</f>
        <v>2445.70244234827</v>
      </c>
      <c r="I42" s="92" t="n">
        <f aca="false">F42*$Q$6</f>
        <v>7662.3977996724</v>
      </c>
      <c r="J42" s="92" t="n">
        <f aca="false">IF(G42&gt;0,MAX(H42-I42,0),0)</f>
        <v>0</v>
      </c>
      <c r="K42" s="92" t="n">
        <f aca="false">K41+J42</f>
        <v>0</v>
      </c>
      <c r="L42" s="92" t="n">
        <f aca="false">IF(J42*$Q$9&gt;$Q$10,(J42*$Q$9-$Q$10)*$Q$7,0)</f>
        <v>0</v>
      </c>
      <c r="M42" s="92" t="n">
        <f aca="false">IF(J41*$Q$9&gt;$Q$10,(I42)*$Q$9*$Q$7,IF((J41+I42)*$Q$9&gt;$Q$10,((J41+I42)*$Q$9-$Q$10)*$Q$7,0))</f>
        <v>1203.40644376452</v>
      </c>
      <c r="N42" s="89" t="n">
        <f aca="false">I42-M42-L42</f>
        <v>6458.99135590788</v>
      </c>
    </row>
    <row r="43" customFormat="false" ht="15" hidden="false" customHeight="false" outlineLevel="0" collapsed="false">
      <c r="A43" s="91" t="n">
        <v>41</v>
      </c>
      <c r="B43" s="92" t="n">
        <f aca="false">IF(Übersicht!$C$13&gt;=A43,-Übersicht!$C$6,IF(A43=Übersicht!$C$13+1,Übersicht!$F$9,0))</f>
        <v>0</v>
      </c>
      <c r="C43" s="92" t="n">
        <f aca="false">C42+E43</f>
        <v>197597.862770141</v>
      </c>
      <c r="D43" s="92" t="n">
        <f aca="false">F42-I42</f>
        <v>418026.368848794</v>
      </c>
      <c r="E43" s="92" t="n">
        <f aca="false">$Q$4+N42</f>
        <v>8858.99135590789</v>
      </c>
      <c r="F43" s="92" t="n">
        <f aca="false">IF(ISNUMBER(Übersicht!G18),(D43+E43)*(1+Übersicht!G18),(D43+E43)*(1+$Q$5))</f>
        <v>452498.481816984</v>
      </c>
      <c r="G43" s="92" t="n">
        <f aca="false">F43-(E43+D43)</f>
        <v>25613.1216122822</v>
      </c>
      <c r="H43" s="92" t="n">
        <f aca="false">IF(G43&gt;0,MIN((D43+E43)*$Q$8*0.7,G43),0)</f>
        <v>2599.73184364664</v>
      </c>
      <c r="I43" s="92" t="n">
        <f aca="false">F43*$Q$6</f>
        <v>8144.97267270572</v>
      </c>
      <c r="J43" s="92" t="n">
        <f aca="false">IF(G43&gt;0,MAX(H43-I43,0),0)</f>
        <v>0</v>
      </c>
      <c r="K43" s="92" t="n">
        <f aca="false">K42+J43</f>
        <v>0</v>
      </c>
      <c r="L43" s="92" t="n">
        <f aca="false">IF(J43*$Q$9&gt;$Q$10,(J43*$Q$9-$Q$10)*$Q$7,0)</f>
        <v>0</v>
      </c>
      <c r="M43" s="92" t="n">
        <f aca="false">IF(J42*$Q$9&gt;$Q$10,(I43)*$Q$9*$Q$7,IF((J42+I43)*$Q$9&gt;$Q$10,((J42+I43)*$Q$9-$Q$10)*$Q$7,0))</f>
        <v>1292.50182969829</v>
      </c>
      <c r="N43" s="89" t="n">
        <f aca="false">I43-M43-L43</f>
        <v>6852.47084300743</v>
      </c>
    </row>
    <row r="44" customFormat="false" ht="15" hidden="false" customHeight="false" outlineLevel="0" collapsed="false">
      <c r="A44" s="91" t="n">
        <v>42</v>
      </c>
      <c r="B44" s="92" t="n">
        <f aca="false">IF(Übersicht!$C$13&gt;=A44,-Übersicht!$C$6,IF(A44=Übersicht!$C$13+1,Übersicht!$F$9,0))</f>
        <v>0</v>
      </c>
      <c r="C44" s="92" t="n">
        <f aca="false">C43+E44</f>
        <v>206850.333613149</v>
      </c>
      <c r="D44" s="92" t="n">
        <f aca="false">F43-I43</f>
        <v>444353.509144279</v>
      </c>
      <c r="E44" s="92" t="n">
        <f aca="false">$Q$4+N43</f>
        <v>9252.47084300743</v>
      </c>
      <c r="F44" s="92" t="n">
        <f aca="false">IF(ISNUMBER(Übersicht!G19),(D44+E44)*(1+Übersicht!G19),(D44+E44)*(1+$Q$5))</f>
        <v>480822.338786523</v>
      </c>
      <c r="G44" s="92" t="n">
        <f aca="false">F44-(E44+D44)</f>
        <v>27216.3587992372</v>
      </c>
      <c r="H44" s="92" t="n">
        <f aca="false">IF(G44&gt;0,MIN((D44+E44)*$Q$8*0.7,G44),0)</f>
        <v>2762.46041812257</v>
      </c>
      <c r="I44" s="92" t="n">
        <f aca="false">F44*$Q$6</f>
        <v>8654.80209815742</v>
      </c>
      <c r="J44" s="92" t="n">
        <f aca="false">IF(G44&gt;0,MAX(H44-I44,0),0)</f>
        <v>0</v>
      </c>
      <c r="K44" s="92" t="n">
        <f aca="false">K43+J44</f>
        <v>0</v>
      </c>
      <c r="L44" s="92" t="n">
        <f aca="false">IF(J44*$Q$9&gt;$Q$10,(J44*$Q$9-$Q$10)*$Q$7,0)</f>
        <v>0</v>
      </c>
      <c r="M44" s="92" t="n">
        <f aca="false">IF(J43*$Q$9&gt;$Q$10,(I44)*$Q$9*$Q$7,IF((J43+I44)*$Q$9&gt;$Q$10,((J43+I44)*$Q$9-$Q$10)*$Q$7,0))</f>
        <v>1386.62908737231</v>
      </c>
      <c r="N44" s="89" t="n">
        <f aca="false">I44-M44-L44</f>
        <v>7268.17301078511</v>
      </c>
    </row>
    <row r="45" customFormat="false" ht="15" hidden="false" customHeight="false" outlineLevel="0" collapsed="false">
      <c r="A45" s="91" t="n">
        <v>43</v>
      </c>
      <c r="B45" s="92" t="n">
        <f aca="false">IF(Übersicht!$C$13&gt;=A45,-Übersicht!$C$6,IF(A45=Übersicht!$C$13+1,Übersicht!$F$9,0))</f>
        <v>0</v>
      </c>
      <c r="C45" s="92" t="n">
        <f aca="false">C44+E45</f>
        <v>216518.506623934</v>
      </c>
      <c r="D45" s="92" t="n">
        <f aca="false">F44-I44</f>
        <v>472167.536688366</v>
      </c>
      <c r="E45" s="92" t="n">
        <f aca="false">$Q$4+N44</f>
        <v>9668.17301078511</v>
      </c>
      <c r="F45" s="92" t="n">
        <f aca="false">IF(ISNUMBER(Übersicht!G20),(D45+E45)*(1+Übersicht!G20),(D45+E45)*(1+$Q$5))</f>
        <v>510745.8522811</v>
      </c>
      <c r="G45" s="92" t="n">
        <f aca="false">F45-(E45+D45)</f>
        <v>28910.1425819491</v>
      </c>
      <c r="H45" s="92" t="n">
        <f aca="false">IF(G45&gt;0,MIN((D45+E45)*$Q$8*0.7,G45),0)</f>
        <v>2934.37947206783</v>
      </c>
      <c r="I45" s="92" t="n">
        <f aca="false">F45*$Q$6</f>
        <v>9193.4253410598</v>
      </c>
      <c r="J45" s="92" t="n">
        <f aca="false">IF(G45&gt;0,MAX(H45-I45,0),0)</f>
        <v>0</v>
      </c>
      <c r="K45" s="92" t="n">
        <f aca="false">K44+J45</f>
        <v>0</v>
      </c>
      <c r="L45" s="92" t="n">
        <f aca="false">IF(J45*$Q$9&gt;$Q$10,(J45*$Q$9-$Q$10)*$Q$7,0)</f>
        <v>0</v>
      </c>
      <c r="M45" s="92" t="n">
        <f aca="false">IF(J44*$Q$9&gt;$Q$10,(I45)*$Q$9*$Q$7,IF((J44+I45)*$Q$9&gt;$Q$10,((J44+I45)*$Q$9-$Q$10)*$Q$7,0))</f>
        <v>1486.07240359317</v>
      </c>
      <c r="N45" s="89" t="n">
        <f aca="false">I45-M45-L45</f>
        <v>7707.35293746664</v>
      </c>
    </row>
    <row r="46" customFormat="false" ht="15" hidden="false" customHeight="false" outlineLevel="0" collapsed="false">
      <c r="A46" s="91" t="n">
        <v>44</v>
      </c>
      <c r="B46" s="92" t="n">
        <f aca="false">IF(Übersicht!$C$13&gt;=A46,-Übersicht!$C$6,IF(A46=Übersicht!$C$13+1,Übersicht!$F$9,0))</f>
        <v>0</v>
      </c>
      <c r="C46" s="92" t="n">
        <f aca="false">C45+E46</f>
        <v>226625.859561401</v>
      </c>
      <c r="D46" s="92" t="n">
        <f aca="false">F45-I45</f>
        <v>501552.42694004</v>
      </c>
      <c r="E46" s="92" t="n">
        <f aca="false">$Q$4+N45</f>
        <v>10107.3529374666</v>
      </c>
      <c r="F46" s="92" t="n">
        <f aca="false">IF(ISNUMBER(Übersicht!G21),(D46+E46)*(1+Übersicht!G21),(D46+E46)*(1+$Q$5))</f>
        <v>542359.366670157</v>
      </c>
      <c r="G46" s="92" t="n">
        <f aca="false">F46-(E46+D46)</f>
        <v>30699.5867926504</v>
      </c>
      <c r="H46" s="92" t="n">
        <f aca="false">IF(G46&gt;0,MIN((D46+E46)*$Q$8*0.7,G46),0)</f>
        <v>3116.00805945402</v>
      </c>
      <c r="I46" s="92" t="n">
        <f aca="false">F46*$Q$6</f>
        <v>9762.46860006283</v>
      </c>
      <c r="J46" s="92" t="n">
        <f aca="false">IF(G46&gt;0,MAX(H46-I46,0),0)</f>
        <v>0</v>
      </c>
      <c r="K46" s="92" t="n">
        <f aca="false">K45+J46</f>
        <v>0</v>
      </c>
      <c r="L46" s="92" t="n">
        <f aca="false">IF(J46*$Q$9&gt;$Q$10,(J46*$Q$9-$Q$10)*$Q$7,0)</f>
        <v>0</v>
      </c>
      <c r="M46" s="92" t="n">
        <f aca="false">IF(J45*$Q$9&gt;$Q$10,(I46)*$Q$9*$Q$7,IF((J45+I46)*$Q$9&gt;$Q$10,((J45+I46)*$Q$9-$Q$10)*$Q$7,0))</f>
        <v>1591.1320152866</v>
      </c>
      <c r="N46" s="89" t="n">
        <f aca="false">I46-M46-L46</f>
        <v>8171.33658477623</v>
      </c>
    </row>
    <row r="47" customFormat="false" ht="15" hidden="false" customHeight="false" outlineLevel="0" collapsed="false">
      <c r="A47" s="91" t="n">
        <v>45</v>
      </c>
      <c r="B47" s="92" t="n">
        <f aca="false">IF(Übersicht!$C$13&gt;=A47,-Übersicht!$C$6,IF(A47=Übersicht!$C$13+1,Übersicht!$F$9,0))</f>
        <v>0</v>
      </c>
      <c r="C47" s="92" t="n">
        <f aca="false">C46+E47</f>
        <v>237197.196146177</v>
      </c>
      <c r="D47" s="92" t="n">
        <f aca="false">F46-I46</f>
        <v>532596.898070095</v>
      </c>
      <c r="E47" s="92" t="n">
        <f aca="false">$Q$4+N46</f>
        <v>10571.3365847762</v>
      </c>
      <c r="F47" s="92" t="n">
        <f aca="false">IF(ISNUMBER(Übersicht!G22),(D47+E47)*(1+Übersicht!G22),(D47+E47)*(1+$Q$5))</f>
        <v>575758.328734163</v>
      </c>
      <c r="G47" s="92" t="n">
        <f aca="false">F47-(E47+D47)</f>
        <v>32590.0940792923</v>
      </c>
      <c r="H47" s="92" t="n">
        <f aca="false">IF(G47&gt;0,MIN((D47+E47)*$Q$8*0.7,G47),0)</f>
        <v>3307.89454904816</v>
      </c>
      <c r="I47" s="92" t="n">
        <f aca="false">F47*$Q$6</f>
        <v>10363.6499172149</v>
      </c>
      <c r="J47" s="92" t="n">
        <f aca="false">IF(G47&gt;0,MAX(H47-I47,0),0)</f>
        <v>0</v>
      </c>
      <c r="K47" s="92" t="n">
        <f aca="false">K46+J47</f>
        <v>0</v>
      </c>
      <c r="L47" s="92" t="n">
        <f aca="false">IF(J47*$Q$9&gt;$Q$10,(J47*$Q$9-$Q$10)*$Q$7,0)</f>
        <v>0</v>
      </c>
      <c r="M47" s="92" t="n">
        <f aca="false">IF(J46*$Q$9&gt;$Q$10,(I47)*$Q$9*$Q$7,IF((J46+I47)*$Q$9&gt;$Q$10,((J46+I47)*$Q$9-$Q$10)*$Q$7,0))</f>
        <v>1702.12511596581</v>
      </c>
      <c r="N47" s="89" t="n">
        <f aca="false">I47-M47-L47</f>
        <v>8661.52480124913</v>
      </c>
    </row>
    <row r="48" customFormat="false" ht="15" hidden="false" customHeight="false" outlineLevel="0" collapsed="false">
      <c r="A48" s="91" t="n">
        <v>46</v>
      </c>
      <c r="B48" s="92" t="n">
        <f aca="false">IF(Übersicht!$C$13&gt;=A48,-Übersicht!$C$6,IF(A48=Übersicht!$C$13+1,Übersicht!$F$9,0))</f>
        <v>0</v>
      </c>
      <c r="C48" s="92" t="n">
        <f aca="false">C47+E48</f>
        <v>248258.720947426</v>
      </c>
      <c r="D48" s="92" t="n">
        <f aca="false">F47-I47</f>
        <v>565394.678816948</v>
      </c>
      <c r="E48" s="92" t="n">
        <f aca="false">$Q$4+N47</f>
        <v>11061.5248012491</v>
      </c>
      <c r="F48" s="92" t="n">
        <f aca="false">IF(ISNUMBER(Übersicht!G23),(D48+E48)*(1+Übersicht!G23),(D48+E48)*(1+$Q$5))</f>
        <v>611043.575835289</v>
      </c>
      <c r="G48" s="92" t="n">
        <f aca="false">F48-(E48+D48)</f>
        <v>34587.3722170918</v>
      </c>
      <c r="H48" s="92" t="n">
        <f aca="false">IF(G48&gt;0,MIN((D48+E48)*$Q$8*0.7,G48),0)</f>
        <v>3510.61828003482</v>
      </c>
      <c r="I48" s="92" t="n">
        <f aca="false">F48*$Q$6</f>
        <v>10998.7843650352</v>
      </c>
      <c r="J48" s="92" t="n">
        <f aca="false">IF(G48&gt;0,MAX(H48-I48,0),0)</f>
        <v>0</v>
      </c>
      <c r="K48" s="92" t="n">
        <f aca="false">K47+J48</f>
        <v>0</v>
      </c>
      <c r="L48" s="92" t="n">
        <f aca="false">IF(J48*$Q$9&gt;$Q$10,(J48*$Q$9-$Q$10)*$Q$7,0)</f>
        <v>0</v>
      </c>
      <c r="M48" s="92" t="n">
        <f aca="false">IF(J47*$Q$9&gt;$Q$10,(I48)*$Q$9*$Q$7,IF((J47+I48)*$Q$9&gt;$Q$10,((J47+I48)*$Q$9-$Q$10)*$Q$7,0))</f>
        <v>1819.38681339462</v>
      </c>
      <c r="N48" s="89" t="n">
        <f aca="false">I48-M48-L48</f>
        <v>9179.39755164058</v>
      </c>
    </row>
    <row r="49" customFormat="false" ht="15" hidden="false" customHeight="false" outlineLevel="0" collapsed="false">
      <c r="A49" s="91" t="n">
        <v>47</v>
      </c>
      <c r="B49" s="92" t="n">
        <f aca="false">IF(Übersicht!$C$13&gt;=A49,-Übersicht!$C$6,IF(A49=Übersicht!$C$13+1,Übersicht!$F$9,0))</f>
        <v>0</v>
      </c>
      <c r="C49" s="92" t="n">
        <f aca="false">C48+E49</f>
        <v>259838.118499066</v>
      </c>
      <c r="D49" s="92" t="n">
        <f aca="false">F48-I48</f>
        <v>600044.791470254</v>
      </c>
      <c r="E49" s="92" t="n">
        <f aca="false">$Q$4+N48</f>
        <v>11579.3975516406</v>
      </c>
      <c r="F49" s="92" t="n">
        <f aca="false">IF(ISNUMBER(Übersicht!G24),(D49+E49)*(1+Übersicht!G24),(D49+E49)*(1+$Q$5))</f>
        <v>648321.640363208</v>
      </c>
      <c r="G49" s="92" t="n">
        <f aca="false">F49-(E49+D49)</f>
        <v>36697.4513413137</v>
      </c>
      <c r="H49" s="92" t="n">
        <f aca="false">IF(G49&gt;0,MIN((D49+E49)*$Q$8*0.7,G49),0)</f>
        <v>3724.79131114334</v>
      </c>
      <c r="I49" s="92" t="n">
        <f aca="false">F49*$Q$6</f>
        <v>11669.7895265377</v>
      </c>
      <c r="J49" s="92" t="n">
        <f aca="false">IF(G49&gt;0,MAX(H49-I49,0),0)</f>
        <v>0</v>
      </c>
      <c r="K49" s="92" t="n">
        <f aca="false">K48+J49</f>
        <v>0</v>
      </c>
      <c r="L49" s="92" t="n">
        <f aca="false">IF(J49*$Q$9&gt;$Q$10,(J49*$Q$9-$Q$10)*$Q$7,0)</f>
        <v>0</v>
      </c>
      <c r="M49" s="92" t="n">
        <f aca="false">IF(J48*$Q$9&gt;$Q$10,(I49)*$Q$9*$Q$7,IF((J48+I49)*$Q$9&gt;$Q$10,((J48+I49)*$Q$9-$Q$10)*$Q$7,0))</f>
        <v>1943.27114133703</v>
      </c>
      <c r="N49" s="89" t="n">
        <f aca="false">I49-M49-L49</f>
        <v>9726.51838520071</v>
      </c>
    </row>
    <row r="50" customFormat="false" ht="15" hidden="false" customHeight="false" outlineLevel="0" collapsed="false">
      <c r="A50" s="91" t="n">
        <v>48</v>
      </c>
      <c r="B50" s="92" t="n">
        <f aca="false">IF(Übersicht!$C$13&gt;=A50,-Übersicht!$C$6,IF(A50=Übersicht!$C$13+1,Übersicht!$F$9,0))</f>
        <v>0</v>
      </c>
      <c r="C50" s="92" t="n">
        <f aca="false">C49+E50</f>
        <v>271964.636884267</v>
      </c>
      <c r="D50" s="92" t="n">
        <f aca="false">F49-I49</f>
        <v>636651.85083667</v>
      </c>
      <c r="E50" s="92" t="n">
        <f aca="false">$Q$4+N49</f>
        <v>12126.5183852007</v>
      </c>
      <c r="F50" s="92" t="n">
        <f aca="false">IF(ISNUMBER(Übersicht!G25),(D50+E50)*(1+Übersicht!G25),(D50+E50)*(1+$Q$5))</f>
        <v>687705.071375183</v>
      </c>
      <c r="G50" s="92" t="n">
        <f aca="false">F50-(E50+D50)</f>
        <v>38926.7021533123</v>
      </c>
      <c r="H50" s="92" t="n">
        <f aca="false">IF(G50&gt;0,MIN((D50+E50)*$Q$8*0.7,G50),0)</f>
        <v>3951.06026856119</v>
      </c>
      <c r="I50" s="92" t="n">
        <f aca="false">F50*$Q$6</f>
        <v>12378.6912847533</v>
      </c>
      <c r="J50" s="92" t="n">
        <f aca="false">IF(G50&gt;0,MAX(H50-I50,0),0)</f>
        <v>0</v>
      </c>
      <c r="K50" s="92" t="n">
        <f aca="false">K49+J50</f>
        <v>0</v>
      </c>
      <c r="L50" s="92" t="n">
        <f aca="false">IF(J50*$Q$9&gt;$Q$10,(J50*$Q$9-$Q$10)*$Q$7,0)</f>
        <v>0</v>
      </c>
      <c r="M50" s="92" t="n">
        <f aca="false">IF(J49*$Q$9&gt;$Q$10,(I50)*$Q$9*$Q$7,IF((J49+I50)*$Q$9&gt;$Q$10,((J49+I50)*$Q$9-$Q$10)*$Q$7,0))</f>
        <v>2074.15212844758</v>
      </c>
      <c r="N50" s="89" t="n">
        <f aca="false">I50-M50-L50</f>
        <v>10304.5391563057</v>
      </c>
    </row>
    <row r="51" customFormat="false" ht="15" hidden="false" customHeight="false" outlineLevel="0" collapsed="false">
      <c r="A51" s="91" t="n">
        <v>49</v>
      </c>
      <c r="B51" s="92" t="n">
        <f aca="false">IF(Übersicht!$C$13&gt;=A51,-Übersicht!$C$6,IF(A51=Übersicht!$C$13+1,Übersicht!$F$9,0))</f>
        <v>0</v>
      </c>
      <c r="C51" s="92" t="n">
        <f aca="false">C50+E51</f>
        <v>284669.176040573</v>
      </c>
      <c r="D51" s="92" t="n">
        <f aca="false">F50-I50</f>
        <v>675326.38009043</v>
      </c>
      <c r="E51" s="92" t="n">
        <f aca="false">$Q$4+N50</f>
        <v>12704.5391563057</v>
      </c>
      <c r="F51" s="92" t="n">
        <f aca="false">IF(ISNUMBER(Übersicht!G26),(D51+E51)*(1+Übersicht!G26),(D51+E51)*(1+$Q$5))</f>
        <v>729312.77440154</v>
      </c>
      <c r="G51" s="92" t="n">
        <f aca="false">F51-(E51+D51)</f>
        <v>41281.8551548042</v>
      </c>
      <c r="H51" s="92" t="n">
        <f aca="false">IF(G51&gt;0,MIN((D51+E51)*$Q$8*0.7,G51),0)</f>
        <v>4190.10829821262</v>
      </c>
      <c r="I51" s="92" t="n">
        <f aca="false">F51*$Q$6</f>
        <v>13127.6299392277</v>
      </c>
      <c r="J51" s="92" t="n">
        <f aca="false">IF(G51&gt;0,MAX(H51-I51,0),0)</f>
        <v>0</v>
      </c>
      <c r="K51" s="92" t="n">
        <f aca="false">K50+J51</f>
        <v>0</v>
      </c>
      <c r="L51" s="92" t="n">
        <f aca="false">IF(J51*$Q$9&gt;$Q$10,(J51*$Q$9-$Q$10)*$Q$7,0)</f>
        <v>0</v>
      </c>
      <c r="M51" s="92" t="n">
        <f aca="false">IF(J50*$Q$9&gt;$Q$10,(I51)*$Q$9*$Q$7,IF((J50+I51)*$Q$9&gt;$Q$10,((J50+I51)*$Q$9-$Q$10)*$Q$7,0))</f>
        <v>2212.42492752992</v>
      </c>
      <c r="N51" s="89" t="n">
        <f aca="false">I51-M51-L51</f>
        <v>10915.2050116978</v>
      </c>
    </row>
    <row r="52" customFormat="false" ht="15" hidden="false" customHeight="false" outlineLevel="0" collapsed="false">
      <c r="A52" s="91" t="n">
        <v>50</v>
      </c>
      <c r="B52" s="92" t="n">
        <f aca="false">IF(Übersicht!$C$13&gt;=A52,-Übersicht!$C$6,IF(A52=Übersicht!$C$13+1,Übersicht!$F$9,0))</f>
        <v>0</v>
      </c>
      <c r="C52" s="92" t="n">
        <f aca="false">C51+E52</f>
        <v>297984.381052271</v>
      </c>
      <c r="D52" s="92" t="n">
        <f aca="false">F51-I51</f>
        <v>716185.144462312</v>
      </c>
      <c r="E52" s="92" t="n">
        <f aca="false">$Q$4+N51</f>
        <v>13315.2050116978</v>
      </c>
      <c r="F52" s="92" t="n">
        <f aca="false">IF(ISNUMBER(Übersicht!G27),(D52+E52)*(1+Übersicht!G27),(D52+E52)*(1+$Q$5))</f>
        <v>773270.370442451</v>
      </c>
      <c r="G52" s="92" t="n">
        <f aca="false">F52-(E52+D52)</f>
        <v>43770.0209684407</v>
      </c>
      <c r="H52" s="92" t="n">
        <f aca="false">IF(G52&gt;0,MIN((D52+E52)*$Q$8*0.7,G52),0)</f>
        <v>4442.65712829672</v>
      </c>
      <c r="I52" s="92" t="n">
        <f aca="false">F52*$Q$6</f>
        <v>13918.8666679641</v>
      </c>
      <c r="J52" s="92" t="n">
        <f aca="false">IF(G52&gt;0,MAX(H52-I52,0),0)</f>
        <v>0</v>
      </c>
      <c r="K52" s="92" t="n">
        <f aca="false">K51+J52</f>
        <v>0</v>
      </c>
      <c r="L52" s="92" t="n">
        <f aca="false">IF(J52*$Q$9&gt;$Q$10,(J52*$Q$9-$Q$10)*$Q$7,0)</f>
        <v>0</v>
      </c>
      <c r="M52" s="92" t="n">
        <f aca="false">IF(J51*$Q$9&gt;$Q$10,(I52)*$Q$9*$Q$7,IF((J51+I52)*$Q$9&gt;$Q$10,((J51+I52)*$Q$9-$Q$10)*$Q$7,0))</f>
        <v>2358.50700857287</v>
      </c>
      <c r="N52" s="89" t="n">
        <f aca="false">I52-M52-L52</f>
        <v>11560.3596593912</v>
      </c>
    </row>
    <row r="53" customFormat="false" ht="15" hidden="false" customHeight="false" outlineLevel="0" collapsed="false">
      <c r="A53" s="91" t="n">
        <v>51</v>
      </c>
      <c r="B53" s="92" t="n">
        <f aca="false">IF(Übersicht!$C$13&gt;=A53,-Übersicht!$C$6,IF(A53=Übersicht!$C$13+1,Übersicht!$F$9,0))</f>
        <v>0</v>
      </c>
      <c r="C53" s="92" t="n">
        <f aca="false">C52+E53</f>
        <v>311944.740711662</v>
      </c>
      <c r="D53" s="92" t="n">
        <f aca="false">F52-I52</f>
        <v>759351.503774487</v>
      </c>
      <c r="E53" s="92" t="n">
        <f aca="false">$Q$4+N52</f>
        <v>13960.3596593912</v>
      </c>
      <c r="F53" s="92" t="n">
        <f aca="false">IF(ISNUMBER(Übersicht!G28),(D53+E53)*(1+Übersicht!G28),(D53+E53)*(1+$Q$5))</f>
        <v>819710.575239911</v>
      </c>
      <c r="G53" s="92" t="n">
        <f aca="false">F53-(E53+D53)</f>
        <v>46398.7118060327</v>
      </c>
      <c r="H53" s="92" t="n">
        <f aca="false">IF(G53&gt;0,MIN((D53+E53)*$Q$8*0.7,G53),0)</f>
        <v>4709.46924831232</v>
      </c>
      <c r="I53" s="92" t="n">
        <f aca="false">F53*$Q$6</f>
        <v>14754.7903543184</v>
      </c>
      <c r="J53" s="92" t="n">
        <f aca="false">IF(G53&gt;0,MAX(H53-I53,0),0)</f>
        <v>0</v>
      </c>
      <c r="K53" s="92" t="n">
        <f aca="false">K52+J53</f>
        <v>0</v>
      </c>
      <c r="L53" s="92" t="n">
        <f aca="false">IF(J53*$Q$9&gt;$Q$10,(J53*$Q$9-$Q$10)*$Q$7,0)</f>
        <v>0</v>
      </c>
      <c r="M53" s="92" t="n">
        <f aca="false">IF(J52*$Q$9&gt;$Q$10,(I53)*$Q$9*$Q$7,IF((J52+I53)*$Q$9&gt;$Q$10,((J52+I53)*$Q$9-$Q$10)*$Q$7,0))</f>
        <v>2512.83941916603</v>
      </c>
      <c r="N53" s="89" t="n">
        <f aca="false">I53-M53-L53</f>
        <v>12241.9509351524</v>
      </c>
    </row>
    <row r="54" customFormat="false" ht="15" hidden="false" customHeight="false" outlineLevel="0" collapsed="false">
      <c r="A54" s="91" t="n">
        <v>52</v>
      </c>
      <c r="B54" s="92" t="n">
        <f aca="false">IF(Übersicht!$C$13&gt;=A54,-Übersicht!$C$6,IF(A54=Übersicht!$C$13+1,Übersicht!$F$9,0))</f>
        <v>0</v>
      </c>
      <c r="C54" s="92" t="n">
        <f aca="false">C53+E54</f>
        <v>326586.691646814</v>
      </c>
      <c r="D54" s="92" t="n">
        <f aca="false">F53-I53</f>
        <v>804955.784885592</v>
      </c>
      <c r="E54" s="92" t="n">
        <f aca="false">$Q$4+N53</f>
        <v>14641.9509351524</v>
      </c>
      <c r="F54" s="92" t="n">
        <f aca="false">IF(ISNUMBER(Übersicht!G29),(D54+E54)*(1+Übersicht!G29),(D54+E54)*(1+$Q$5))</f>
        <v>868773.599969989</v>
      </c>
      <c r="G54" s="92" t="n">
        <f aca="false">F54-(E54+D54)</f>
        <v>49175.8641492447</v>
      </c>
      <c r="H54" s="92" t="n">
        <f aca="false">IF(G54&gt;0,MIN((D54+E54)*$Q$8*0.7,G54),0)</f>
        <v>4991.35021114833</v>
      </c>
      <c r="I54" s="92" t="n">
        <f aca="false">F54*$Q$6</f>
        <v>15637.9247994598</v>
      </c>
      <c r="J54" s="92" t="n">
        <f aca="false">IF(G54&gt;0,MAX(H54-I54,0),0)</f>
        <v>0</v>
      </c>
      <c r="K54" s="92" t="n">
        <f aca="false">K53+J54</f>
        <v>0</v>
      </c>
      <c r="L54" s="92" t="n">
        <f aca="false">IF(J54*$Q$9&gt;$Q$10,(J54*$Q$9-$Q$10)*$Q$7,0)</f>
        <v>0</v>
      </c>
      <c r="M54" s="92" t="n">
        <f aca="false">IF(J53*$Q$9&gt;$Q$10,(I54)*$Q$9*$Q$7,IF((J53+I54)*$Q$9&gt;$Q$10,((J53+I54)*$Q$9-$Q$10)*$Q$7,0))</f>
        <v>2675.88811610027</v>
      </c>
      <c r="N54" s="89" t="n">
        <f aca="false">I54-M54-L54</f>
        <v>12962.0366833595</v>
      </c>
    </row>
    <row r="55" customFormat="false" ht="15" hidden="false" customHeight="false" outlineLevel="0" collapsed="false">
      <c r="A55" s="91" t="n">
        <v>53</v>
      </c>
      <c r="B55" s="92" t="n">
        <f aca="false">IF(Übersicht!$C$13&gt;=A55,-Übersicht!$C$6,IF(A55=Übersicht!$C$13+1,Übersicht!$F$9,0))</f>
        <v>0</v>
      </c>
      <c r="C55" s="92" t="n">
        <f aca="false">C54+E55</f>
        <v>341948.728330174</v>
      </c>
      <c r="D55" s="92" t="n">
        <f aca="false">F54-I54</f>
        <v>853135.67517053</v>
      </c>
      <c r="E55" s="92" t="n">
        <f aca="false">$Q$4+N54</f>
        <v>15362.0366833595</v>
      </c>
      <c r="F55" s="92" t="n">
        <f aca="false">IF(ISNUMBER(Übersicht!G30),(D55+E55)*(1+Übersicht!G30),(D55+E55)*(1+$Q$5))</f>
        <v>920607.574565123</v>
      </c>
      <c r="G55" s="92" t="n">
        <f aca="false">F55-(E55+D55)</f>
        <v>52109.8627112334</v>
      </c>
      <c r="H55" s="92" t="n">
        <f aca="false">IF(G55&gt;0,MIN((D55+E55)*$Q$8*0.7,G55),0)</f>
        <v>5289.15106519018</v>
      </c>
      <c r="I55" s="92" t="n">
        <f aca="false">F55*$Q$6</f>
        <v>16570.9363421722</v>
      </c>
      <c r="J55" s="92" t="n">
        <f aca="false">IF(G55&gt;0,MAX(H55-I55,0),0)</f>
        <v>0</v>
      </c>
      <c r="K55" s="92" t="n">
        <f aca="false">K54+J55</f>
        <v>0</v>
      </c>
      <c r="L55" s="92" t="n">
        <f aca="false">IF(J55*$Q$9&gt;$Q$10,(J55*$Q$9-$Q$10)*$Q$7,0)</f>
        <v>0</v>
      </c>
      <c r="M55" s="92" t="n">
        <f aca="false">IF(J54*$Q$9&gt;$Q$10,(I55)*$Q$9*$Q$7,IF((J54+I55)*$Q$9&gt;$Q$10,((J54+I55)*$Q$9-$Q$10)*$Q$7,0))</f>
        <v>2848.14537217354</v>
      </c>
      <c r="N55" s="89" t="n">
        <f aca="false">I55-M55-L55</f>
        <v>13722.7909699987</v>
      </c>
    </row>
    <row r="56" customFormat="false" ht="15" hidden="false" customHeight="false" outlineLevel="0" collapsed="false">
      <c r="A56" s="91" t="n">
        <v>54</v>
      </c>
      <c r="B56" s="92" t="n">
        <f aca="false">IF(Übersicht!$C$13&gt;=A56,-Übersicht!$C$6,IF(A56=Übersicht!$C$13+1,Übersicht!$F$9,0))</f>
        <v>0</v>
      </c>
      <c r="C56" s="92" t="n">
        <f aca="false">C55+E56</f>
        <v>358071.519300172</v>
      </c>
      <c r="D56" s="92" t="n">
        <f aca="false">F55-I55</f>
        <v>904036.63822295</v>
      </c>
      <c r="E56" s="92" t="n">
        <f aca="false">$Q$4+N55</f>
        <v>16122.7909699987</v>
      </c>
      <c r="F56" s="92" t="n">
        <f aca="false">IF(ISNUMBER(Übersicht!G31),(D56+E56)*(1+Übersicht!G31),(D56+E56)*(1+$Q$5))</f>
        <v>975368.994944526</v>
      </c>
      <c r="G56" s="92" t="n">
        <f aca="false">F56-(E56+D56)</f>
        <v>55209.565751577</v>
      </c>
      <c r="H56" s="92" t="n">
        <f aca="false">IF(G56&gt;0,MIN((D56+E56)*$Q$8*0.7,G56),0)</f>
        <v>5603.77092378506</v>
      </c>
      <c r="I56" s="92" t="n">
        <f aca="false">F56*$Q$6</f>
        <v>17556.6419090015</v>
      </c>
      <c r="J56" s="92" t="n">
        <f aca="false">IF(G56&gt;0,MAX(H56-I56,0),0)</f>
        <v>0</v>
      </c>
      <c r="K56" s="92" t="n">
        <f aca="false">K55+J56</f>
        <v>0</v>
      </c>
      <c r="L56" s="92" t="n">
        <f aca="false">IF(J56*$Q$9&gt;$Q$10,(J56*$Q$9-$Q$10)*$Q$7,0)</f>
        <v>0</v>
      </c>
      <c r="M56" s="92" t="n">
        <f aca="false">IF(J55*$Q$9&gt;$Q$10,(I56)*$Q$9*$Q$7,IF((J55+I56)*$Q$9&gt;$Q$10,((J55+I56)*$Q$9-$Q$10)*$Q$7,0))</f>
        <v>3030.1312624494</v>
      </c>
      <c r="N56" s="89" t="n">
        <f aca="false">I56-M56-L56</f>
        <v>14526.5106465521</v>
      </c>
    </row>
    <row r="57" customFormat="false" ht="15" hidden="false" customHeight="false" outlineLevel="0" collapsed="false">
      <c r="A57" s="91" t="n">
        <v>55</v>
      </c>
      <c r="B57" s="92" t="n">
        <f aca="false">IF(Übersicht!$C$13&gt;=A57,-Übersicht!$C$6,IF(A57=Übersicht!$C$13+1,Übersicht!$F$9,0))</f>
        <v>0</v>
      </c>
      <c r="C57" s="92" t="n">
        <f aca="false">C56+E57</f>
        <v>374998.029946724</v>
      </c>
      <c r="D57" s="92" t="n">
        <f aca="false">F56-I56</f>
        <v>957812.353035525</v>
      </c>
      <c r="E57" s="92" t="n">
        <f aca="false">$Q$4+N56</f>
        <v>16926.5106465521</v>
      </c>
      <c r="F57" s="92" t="n">
        <f aca="false">IF(ISNUMBER(Übersicht!G32),(D57+E57)*(1+Übersicht!G32),(D57+E57)*(1+$Q$5))</f>
        <v>1033223.195503</v>
      </c>
      <c r="G57" s="92" t="n">
        <f aca="false">F57-(E57+D57)</f>
        <v>58484.3318209246</v>
      </c>
      <c r="H57" s="92" t="n">
        <f aca="false">IF(G57&gt;0,MIN((D57+E57)*$Q$8*0.7,G57),0)</f>
        <v>5936.15967982385</v>
      </c>
      <c r="I57" s="92" t="n">
        <f aca="false">F57*$Q$6</f>
        <v>18598.017519054</v>
      </c>
      <c r="J57" s="92" t="n">
        <f aca="false">IF(G57&gt;0,MAX(H57-I57,0),0)</f>
        <v>0</v>
      </c>
      <c r="K57" s="92" t="n">
        <f aca="false">K56+J57</f>
        <v>0</v>
      </c>
      <c r="L57" s="92" t="n">
        <f aca="false">IF(J57*$Q$9&gt;$Q$10,(J57*$Q$9-$Q$10)*$Q$7,0)</f>
        <v>0</v>
      </c>
      <c r="M57" s="92" t="n">
        <f aca="false">IF(J56*$Q$9&gt;$Q$10,(I57)*$Q$9*$Q$7,IF((J56+I57)*$Q$9&gt;$Q$10,((J56+I57)*$Q$9-$Q$10)*$Q$7,0))</f>
        <v>3222.39523445535</v>
      </c>
      <c r="N57" s="89" t="n">
        <f aca="false">I57-M57-L57</f>
        <v>15375.6222845987</v>
      </c>
    </row>
    <row r="58" customFormat="false" ht="15" hidden="false" customHeight="false" outlineLevel="0" collapsed="false">
      <c r="A58" s="91" t="n">
        <v>56</v>
      </c>
      <c r="B58" s="92" t="n">
        <f aca="false">IF(Übersicht!$C$13&gt;=A58,-Übersicht!$C$6,IF(A58=Übersicht!$C$13+1,Übersicht!$F$9,0))</f>
        <v>0</v>
      </c>
      <c r="C58" s="92" t="n">
        <f aca="false">C57+E58</f>
        <v>392773.652231323</v>
      </c>
      <c r="D58" s="92" t="n">
        <f aca="false">F57-I57</f>
        <v>1014625.17798395</v>
      </c>
      <c r="E58" s="92" t="n">
        <f aca="false">$Q$4+N57</f>
        <v>17775.6222845987</v>
      </c>
      <c r="F58" s="92" t="n">
        <f aca="false">IF(ISNUMBER(Übersicht!G33),(D58+E58)*(1+Übersicht!G33),(D58+E58)*(1+$Q$5))</f>
        <v>1094344.84828466</v>
      </c>
      <c r="G58" s="92" t="n">
        <f aca="false">F58-(E58+D58)</f>
        <v>61944.0480161128</v>
      </c>
      <c r="H58" s="92" t="n">
        <f aca="false">IF(G58&gt;0,MIN((D58+E58)*$Q$8*0.7,G58),0)</f>
        <v>6287.32087363544</v>
      </c>
      <c r="I58" s="92" t="n">
        <f aca="false">F58*$Q$6</f>
        <v>19698.2072691239</v>
      </c>
      <c r="J58" s="92" t="n">
        <f aca="false">IF(G58&gt;0,MAX(H58-I58,0),0)</f>
        <v>0</v>
      </c>
      <c r="K58" s="92" t="n">
        <f aca="false">K57+J58</f>
        <v>0</v>
      </c>
      <c r="L58" s="92" t="n">
        <f aca="false">IF(J58*$Q$9&gt;$Q$10,(J58*$Q$9-$Q$10)*$Q$7,0)</f>
        <v>0</v>
      </c>
      <c r="M58" s="92" t="n">
        <f aca="false">IF(J57*$Q$9&gt;$Q$10,(I58)*$Q$9*$Q$7,IF((J57+I58)*$Q$9&gt;$Q$10,((J57+I58)*$Q$9-$Q$10)*$Q$7,0))</f>
        <v>3425.51776706199</v>
      </c>
      <c r="N58" s="89" t="n">
        <f aca="false">I58-M58-L58</f>
        <v>16272.6895020619</v>
      </c>
    </row>
    <row r="59" customFormat="false" ht="15" hidden="false" customHeight="false" outlineLevel="0" collapsed="false">
      <c r="A59" s="91" t="n">
        <v>57</v>
      </c>
      <c r="B59" s="92" t="n">
        <f aca="false">IF(Übersicht!$C$13&gt;=A59,-Übersicht!$C$6,IF(A59=Übersicht!$C$13+1,Übersicht!$F$9,0))</f>
        <v>0</v>
      </c>
      <c r="C59" s="92" t="n">
        <f aca="false">C58+E59</f>
        <v>411446.341733385</v>
      </c>
      <c r="D59" s="92" t="n">
        <f aca="false">F58-I58</f>
        <v>1074646.64101554</v>
      </c>
      <c r="E59" s="92" t="n">
        <f aca="false">$Q$4+N58</f>
        <v>18672.6895020619</v>
      </c>
      <c r="F59" s="92" t="n">
        <f aca="false">IF(ISNUMBER(Übersicht!G34),(D59+E59)*(1+Übersicht!G34),(D59+E59)*(1+$Q$5))</f>
        <v>1158918.49034865</v>
      </c>
      <c r="G59" s="92" t="n">
        <f aca="false">F59-(E59+D59)</f>
        <v>65599.1598310559</v>
      </c>
      <c r="H59" s="92" t="n">
        <f aca="false">IF(G59&gt;0,MIN((D59+E59)*$Q$8*0.7,G59),0)</f>
        <v>6658.31472285216</v>
      </c>
      <c r="I59" s="92" t="n">
        <f aca="false">F59*$Q$6</f>
        <v>20860.5328262757</v>
      </c>
      <c r="J59" s="92" t="n">
        <f aca="false">IF(G59&gt;0,MAX(H59-I59,0),0)</f>
        <v>0</v>
      </c>
      <c r="K59" s="92" t="n">
        <f aca="false">K58+J59</f>
        <v>0</v>
      </c>
      <c r="L59" s="92" t="n">
        <f aca="false">IF(J59*$Q$9&gt;$Q$10,(J59*$Q$9-$Q$10)*$Q$7,0)</f>
        <v>0</v>
      </c>
      <c r="M59" s="92" t="n">
        <f aca="false">IF(J58*$Q$9&gt;$Q$10,(I59)*$Q$9*$Q$7,IF((J58+I59)*$Q$9&gt;$Q$10,((J58+I59)*$Q$9-$Q$10)*$Q$7,0))</f>
        <v>3640.11212305116</v>
      </c>
      <c r="N59" s="89" t="n">
        <f aca="false">I59-M59-L59</f>
        <v>17220.4207032246</v>
      </c>
    </row>
    <row r="60" customFormat="false" ht="15" hidden="false" customHeight="false" outlineLevel="0" collapsed="false">
      <c r="A60" s="91" t="n">
        <v>58</v>
      </c>
      <c r="B60" s="92" t="n">
        <f aca="false">IF(Übersicht!$C$13&gt;=A60,-Übersicht!$C$6,IF(A60=Übersicht!$C$13+1,Übersicht!$F$9,0))</f>
        <v>0</v>
      </c>
      <c r="C60" s="92" t="n">
        <f aca="false">C59+E60</f>
        <v>431066.76243661</v>
      </c>
      <c r="D60" s="92" t="n">
        <f aca="false">F59-I59</f>
        <v>1138057.95752238</v>
      </c>
      <c r="E60" s="92" t="n">
        <f aca="false">$Q$4+N59</f>
        <v>19620.4207032246</v>
      </c>
      <c r="F60" s="92" t="n">
        <f aca="false">IF(ISNUMBER(Übersicht!G35),(D60+E60)*(1+Übersicht!G35),(D60+E60)*(1+$Q$5))</f>
        <v>1227139.08091914</v>
      </c>
      <c r="G60" s="92" t="n">
        <f aca="false">F60-(E60+D60)</f>
        <v>69460.7026935362</v>
      </c>
      <c r="H60" s="92" t="n">
        <f aca="false">IF(G60&gt;0,MIN((D60+E60)*$Q$8*0.7,G60),0)</f>
        <v>7050.26132339391</v>
      </c>
      <c r="I60" s="92" t="n">
        <f aca="false">F60*$Q$6</f>
        <v>22088.5034565445</v>
      </c>
      <c r="J60" s="92" t="n">
        <f aca="false">IF(G60&gt;0,MAX(H60-I60,0),0)</f>
        <v>0</v>
      </c>
      <c r="K60" s="92" t="n">
        <f aca="false">K59+J60</f>
        <v>0</v>
      </c>
      <c r="L60" s="92" t="n">
        <f aca="false">IF(J60*$Q$9&gt;$Q$10,(J60*$Q$9-$Q$10)*$Q$7,0)</f>
        <v>0</v>
      </c>
      <c r="M60" s="92" t="n">
        <f aca="false">IF(J59*$Q$9&gt;$Q$10,(I60)*$Q$9*$Q$7,IF((J59+I60)*$Q$9&gt;$Q$10,((J59+I60)*$Q$9-$Q$10)*$Q$7,0))</f>
        <v>3866.82620066452</v>
      </c>
      <c r="N60" s="89" t="n">
        <f aca="false">I60-M60-L60</f>
        <v>18221.67725588</v>
      </c>
    </row>
    <row r="61" customFormat="false" ht="15" hidden="false" customHeight="false" outlineLevel="0" collapsed="false">
      <c r="A61" s="91" t="n">
        <v>59</v>
      </c>
      <c r="B61" s="92" t="n">
        <f aca="false">IF(Übersicht!$C$13&gt;=A61,-Übersicht!$C$6,IF(A61=Übersicht!$C$13+1,Übersicht!$F$9,0))</f>
        <v>0</v>
      </c>
      <c r="C61" s="92" t="n">
        <f aca="false">C60+E61</f>
        <v>451688.43969249</v>
      </c>
      <c r="D61" s="92" t="n">
        <f aca="false">F60-I60</f>
        <v>1205050.57746259</v>
      </c>
      <c r="E61" s="92" t="n">
        <f aca="false">$Q$4+N60</f>
        <v>20621.6772558799</v>
      </c>
      <c r="F61" s="92" t="n">
        <f aca="false">IF(ISNUMBER(Übersicht!G36),(D61+E61)*(1+Übersicht!G36),(D61+E61)*(1+$Q$5))</f>
        <v>1299212.59000158</v>
      </c>
      <c r="G61" s="92" t="n">
        <f aca="false">F61-(E61+D61)</f>
        <v>73540.3352831085</v>
      </c>
      <c r="H61" s="92" t="n">
        <f aca="false">IF(G61&gt;0,MIN((D61+E61)*$Q$8*0.7,G61),0)</f>
        <v>7464.3440312355</v>
      </c>
      <c r="I61" s="92" t="n">
        <f aca="false">F61*$Q$6</f>
        <v>23385.8266200285</v>
      </c>
      <c r="J61" s="92" t="n">
        <f aca="false">IF(G61&gt;0,MAX(H61-I61,0),0)</f>
        <v>0</v>
      </c>
      <c r="K61" s="92" t="n">
        <f aca="false">K60+J61</f>
        <v>0</v>
      </c>
      <c r="L61" s="92" t="n">
        <f aca="false">IF(J61*$Q$9&gt;$Q$10,(J61*$Q$9-$Q$10)*$Q$7,0)</f>
        <v>0</v>
      </c>
      <c r="M61" s="92" t="n">
        <f aca="false">IF(J60*$Q$9&gt;$Q$10,(I61)*$Q$9*$Q$7,IF((J60+I61)*$Q$9&gt;$Q$10,((J60+I61)*$Q$9-$Q$10)*$Q$7,0))</f>
        <v>4106.34448972276</v>
      </c>
      <c r="N61" s="89" t="n">
        <f aca="false">I61-M61-L61</f>
        <v>19279.4821303057</v>
      </c>
    </row>
    <row r="62" customFormat="false" ht="15" hidden="false" customHeight="false" outlineLevel="0" collapsed="false">
      <c r="A62" s="91" t="n">
        <v>60</v>
      </c>
      <c r="B62" s="92" t="n">
        <f aca="false">IF(Übersicht!$C$13&gt;=A62,-Übersicht!$C$6,IF(A62=Übersicht!$C$13+1,Übersicht!$F$9,0))</f>
        <v>0</v>
      </c>
      <c r="C62" s="92" t="n">
        <f aca="false">C61+E62</f>
        <v>473367.921822795</v>
      </c>
      <c r="D62" s="92" t="n">
        <f aca="false">F61-I61</f>
        <v>1275826.76338155</v>
      </c>
      <c r="E62" s="92" t="n">
        <f aca="false">$Q$4+N61</f>
        <v>21679.4821303057</v>
      </c>
      <c r="F62" s="92" t="n">
        <f aca="false">IF(ISNUMBER(Übersicht!G37),(D62+E62)*(1+Übersicht!G37),(D62+E62)*(1+$Q$5))</f>
        <v>1375356.62024257</v>
      </c>
      <c r="G62" s="92" t="n">
        <f aca="false">F62-(E62+D62)</f>
        <v>77850.3747307116</v>
      </c>
      <c r="H62" s="92" t="n">
        <f aca="false">IF(G62&gt;0,MIN((D62+E62)*$Q$8*0.7,G62),0)</f>
        <v>7901.81303516722</v>
      </c>
      <c r="I62" s="92" t="n">
        <f aca="false">F62*$Q$6</f>
        <v>24756.4191643663</v>
      </c>
      <c r="J62" s="92" t="n">
        <f aca="false">IF(G62&gt;0,MAX(H62-I62,0),0)</f>
        <v>0</v>
      </c>
      <c r="K62" s="92" t="n">
        <f aca="false">K61+J62</f>
        <v>0</v>
      </c>
      <c r="L62" s="92" t="n">
        <f aca="false">IF(J62*$Q$9&gt;$Q$10,(J62*$Q$9-$Q$10)*$Q$7,0)</f>
        <v>0</v>
      </c>
      <c r="M62" s="92" t="n">
        <f aca="false">IF(J61*$Q$9&gt;$Q$10,(I62)*$Q$9*$Q$7,IF((J61+I62)*$Q$9&gt;$Q$10,((J61+I62)*$Q$9-$Q$10)*$Q$7,0))</f>
        <v>4359.39013822112</v>
      </c>
      <c r="N62" s="89" t="n">
        <f aca="false">I62-M62-L62</f>
        <v>20397.0290261451</v>
      </c>
    </row>
    <row r="63" customFormat="false" ht="15" hidden="false" customHeight="false" outlineLevel="0" collapsed="false">
      <c r="A63" s="91" t="n">
        <v>61</v>
      </c>
      <c r="B63" s="92" t="n">
        <f aca="false">IF(Übersicht!$C$13&gt;=A63,-Übersicht!$C$6,IF(A63=Übersicht!$C$13+1,Übersicht!$F$9,0))</f>
        <v>0</v>
      </c>
      <c r="C63" s="92" t="n">
        <f aca="false">C62+E63</f>
        <v>496164.95084894</v>
      </c>
      <c r="D63" s="92" t="n">
        <f aca="false">F62-I62</f>
        <v>1350600.2010782</v>
      </c>
      <c r="E63" s="92" t="n">
        <f aca="false">$Q$4+N62</f>
        <v>22797.0290261451</v>
      </c>
      <c r="F63" s="92" t="n">
        <f aca="false">IF(ISNUMBER(Übersicht!I18),(D63+E63)*(1+Übersicht!I18),(D63+E63)*(1+$Q$5))</f>
        <v>1455801.06391061</v>
      </c>
      <c r="G63" s="92" t="n">
        <f aca="false">F63-(E63+D63)</f>
        <v>82403.833806261</v>
      </c>
      <c r="H63" s="92" t="n">
        <f aca="false">IF(G63&gt;0,MIN((D63+E63)*$Q$8*0.7,G63),0)</f>
        <v>8363.98913133549</v>
      </c>
      <c r="I63" s="92" t="n">
        <f aca="false">F63*$Q$6</f>
        <v>26204.419150391</v>
      </c>
      <c r="J63" s="92" t="n">
        <f aca="false">IF(G63&gt;0,MAX(H63-I63,0),0)</f>
        <v>0</v>
      </c>
      <c r="K63" s="92" t="n">
        <f aca="false">K62+J63</f>
        <v>0</v>
      </c>
      <c r="L63" s="92" t="n">
        <f aca="false">IF(J63*$Q$9&gt;$Q$10,(J63*$Q$9-$Q$10)*$Q$7,0)</f>
        <v>0</v>
      </c>
      <c r="M63" s="92" t="n">
        <f aca="false">IF(J62*$Q$9&gt;$Q$10,(I63)*$Q$9*$Q$7,IF((J62+I63)*$Q$9&gt;$Q$10,((J62+I63)*$Q$9-$Q$10)*$Q$7,0))</f>
        <v>4626.72713564093</v>
      </c>
      <c r="N63" s="89" t="n">
        <f aca="false">I63-M63-L63</f>
        <v>21577.6920147501</v>
      </c>
    </row>
    <row r="64" customFormat="false" ht="15" hidden="false" customHeight="false" outlineLevel="0" collapsed="false">
      <c r="A64" s="91" t="n">
        <v>62</v>
      </c>
      <c r="B64" s="92" t="n">
        <f aca="false">IF(Übersicht!$C$13&gt;=A64,-Übersicht!$C$6,IF(A64=Übersicht!$C$13+1,Übersicht!$F$9,0))</f>
        <v>0</v>
      </c>
      <c r="C64" s="92" t="n">
        <f aca="false">C63+E64</f>
        <v>520142.64286369</v>
      </c>
      <c r="D64" s="92" t="n">
        <f aca="false">F63-I63</f>
        <v>1429596.64476022</v>
      </c>
      <c r="E64" s="92" t="n">
        <f aca="false">$Q$4+N63</f>
        <v>23977.69201475</v>
      </c>
      <c r="F64" s="92" t="n">
        <f aca="false">IF(ISNUMBER(Übersicht!I19),(D64+E64)*(1+Übersicht!I19),(D64+E64)*(1+$Q$5))</f>
        <v>1540788.79698147</v>
      </c>
      <c r="G64" s="92" t="n">
        <f aca="false">F64-(E64+D64)</f>
        <v>87214.4602064982</v>
      </c>
      <c r="H64" s="92" t="n">
        <f aca="false">IF(G64&gt;0,MIN((D64+E64)*$Q$8*0.7,G64),0)</f>
        <v>8852.26771095956</v>
      </c>
      <c r="I64" s="92" t="n">
        <f aca="false">F64*$Q$6</f>
        <v>27734.1983456664</v>
      </c>
      <c r="J64" s="92" t="n">
        <f aca="false">IF(G64&gt;0,MAX(H64-I64,0),0)</f>
        <v>0</v>
      </c>
      <c r="K64" s="92" t="n">
        <f aca="false">K63+J64</f>
        <v>0</v>
      </c>
      <c r="L64" s="92" t="n">
        <f aca="false">IF(J64*$Q$9&gt;$Q$10,(J64*$Q$9-$Q$10)*$Q$7,0)</f>
        <v>0</v>
      </c>
      <c r="M64" s="92" t="n">
        <f aca="false">IF(J63*$Q$9&gt;$Q$10,(I64)*$Q$9*$Q$7,IF((J63+I64)*$Q$9&gt;$Q$10,((J63+I64)*$Q$9-$Q$10)*$Q$7,0))</f>
        <v>4909.16261956866</v>
      </c>
      <c r="N64" s="89" t="n">
        <f aca="false">I64-M64-L64</f>
        <v>22825.0357260978</v>
      </c>
    </row>
    <row r="65" customFormat="false" ht="15" hidden="false" customHeight="false" outlineLevel="0" collapsed="false">
      <c r="A65" s="91" t="n">
        <v>63</v>
      </c>
      <c r="B65" s="92" t="n">
        <f aca="false">IF(Übersicht!$C$13&gt;=A65,-Übersicht!$C$6,IF(A65=Übersicht!$C$13+1,Übersicht!$F$9,0))</f>
        <v>0</v>
      </c>
      <c r="C65" s="92" t="n">
        <f aca="false">C64+E65</f>
        <v>545367.678589788</v>
      </c>
      <c r="D65" s="92" t="n">
        <f aca="false">F64-I64</f>
        <v>1513054.5986358</v>
      </c>
      <c r="E65" s="92" t="n">
        <f aca="false">$Q$4+N64</f>
        <v>25225.0357260978</v>
      </c>
      <c r="F65" s="92" t="n">
        <f aca="false">IF(ISNUMBER(Übersicht!I20),(D65+E65)*(1+Übersicht!I20),(D65+E65)*(1+$Q$5))</f>
        <v>1630576.41242361</v>
      </c>
      <c r="G65" s="92" t="n">
        <f aca="false">F65-(E65+D65)</f>
        <v>92296.778061714</v>
      </c>
      <c r="H65" s="92" t="n">
        <f aca="false">IF(G65&gt;0,MIN((D65+E65)*$Q$8*0.7,G65),0)</f>
        <v>9368.12297326396</v>
      </c>
      <c r="I65" s="92" t="n">
        <f aca="false">F65*$Q$6</f>
        <v>29350.375423625</v>
      </c>
      <c r="J65" s="92" t="n">
        <f aca="false">IF(G65&gt;0,MAX(H65-I65,0),0)</f>
        <v>0</v>
      </c>
      <c r="K65" s="92" t="n">
        <f aca="false">K64+J65</f>
        <v>0</v>
      </c>
      <c r="L65" s="92" t="n">
        <f aca="false">IF(J65*$Q$9&gt;$Q$10,(J65*$Q$9-$Q$10)*$Q$7,0)</f>
        <v>0</v>
      </c>
      <c r="M65" s="92" t="n">
        <f aca="false">IF(J64*$Q$9&gt;$Q$10,(I65)*$Q$9*$Q$7,IF((J64+I65)*$Q$9&gt;$Q$10,((J64+I65)*$Q$9-$Q$10)*$Q$7,0))</f>
        <v>5207.54931258677</v>
      </c>
      <c r="N65" s="89" t="n">
        <f aca="false">I65-M65-L65</f>
        <v>24142.8261110383</v>
      </c>
    </row>
    <row r="66" customFormat="false" ht="15" hidden="false" customHeight="false" outlineLevel="0" collapsed="false">
      <c r="A66" s="91" t="n">
        <v>64</v>
      </c>
      <c r="B66" s="92" t="n">
        <f aca="false">IF(Übersicht!$C$13&gt;=A66,-Übersicht!$C$6,IF(A66=Übersicht!$C$13+1,Übersicht!$F$9,0))</f>
        <v>0</v>
      </c>
      <c r="C66" s="92" t="n">
        <f aca="false">C65+E66</f>
        <v>571910.504700826</v>
      </c>
      <c r="D66" s="92" t="n">
        <f aca="false">F65-I65</f>
        <v>1601226.03699999</v>
      </c>
      <c r="E66" s="92" t="n">
        <f aca="false">$Q$4+N65</f>
        <v>26542.8261110383</v>
      </c>
      <c r="F66" s="92" t="n">
        <f aca="false">IF(ISNUMBER(Übersicht!I21),(D66+E66)*(1+Übersicht!I21),(D66+E66)*(1+$Q$5))</f>
        <v>1725434.99489769</v>
      </c>
      <c r="G66" s="92" t="n">
        <f aca="false">F66-(E66+D66)</f>
        <v>97666.1317866617</v>
      </c>
      <c r="H66" s="92" t="n">
        <f aca="false">IF(G66&gt;0,MIN((D66+E66)*$Q$8*0.7,G66),0)</f>
        <v>9913.11237634615</v>
      </c>
      <c r="I66" s="92" t="n">
        <f aca="false">F66*$Q$6</f>
        <v>31057.8299081584</v>
      </c>
      <c r="J66" s="92" t="n">
        <f aca="false">IF(G66&gt;0,MAX(H66-I66,0),0)</f>
        <v>0</v>
      </c>
      <c r="K66" s="92" t="n">
        <f aca="false">K65+J66</f>
        <v>0</v>
      </c>
      <c r="L66" s="92" t="n">
        <f aca="false">IF(J66*$Q$9&gt;$Q$10,(J66*$Q$9-$Q$10)*$Q$7,0)</f>
        <v>0</v>
      </c>
      <c r="M66" s="92" t="n">
        <f aca="false">IF(J65*$Q$9&gt;$Q$10,(I66)*$Q$9*$Q$7,IF((J65+I66)*$Q$9&gt;$Q$10,((J65+I66)*$Q$9-$Q$10)*$Q$7,0))</f>
        <v>5522.78809679374</v>
      </c>
      <c r="N66" s="89" t="n">
        <f aca="false">I66-M66-L66</f>
        <v>25535.0418113646</v>
      </c>
    </row>
    <row r="67" customFormat="false" ht="15" hidden="false" customHeight="false" outlineLevel="0" collapsed="false">
      <c r="A67" s="91" t="n">
        <v>65</v>
      </c>
      <c r="B67" s="92" t="n">
        <f aca="false">IF(Übersicht!$C$13&gt;=A67,-Übersicht!$C$6,IF(A67=Übersicht!$C$13+1,Übersicht!$F$9,0))</f>
        <v>0</v>
      </c>
      <c r="C67" s="92" t="n">
        <f aca="false">C66+E67</f>
        <v>599845.546512191</v>
      </c>
      <c r="D67" s="92" t="n">
        <f aca="false">F66-I66</f>
        <v>1694377.16498953</v>
      </c>
      <c r="E67" s="92" t="n">
        <f aca="false">$Q$4+N66</f>
        <v>27935.0418113646</v>
      </c>
      <c r="F67" s="92" t="n">
        <f aca="false">IF(ISNUMBER(Übersicht!I22),(D67+E67)*(1+Übersicht!I22),(D67+E67)*(1+$Q$5))</f>
        <v>1825650.93920895</v>
      </c>
      <c r="G67" s="92" t="n">
        <f aca="false">F67-(E67+D67)</f>
        <v>103338.732408054</v>
      </c>
      <c r="H67" s="92" t="n">
        <f aca="false">IF(G67&gt;0,MIN((D67+E67)*$Q$8*0.7,G67),0)</f>
        <v>10488.8813394174</v>
      </c>
      <c r="I67" s="92" t="n">
        <f aca="false">F67*$Q$6</f>
        <v>32861.7169057611</v>
      </c>
      <c r="J67" s="92" t="n">
        <f aca="false">IF(G67&gt;0,MAX(H67-I67,0),0)</f>
        <v>0</v>
      </c>
      <c r="K67" s="92" t="n">
        <f aca="false">K66+J67</f>
        <v>0</v>
      </c>
      <c r="L67" s="92" t="n">
        <f aca="false">IF(J67*$Q$9&gt;$Q$10,(J67*$Q$9-$Q$10)*$Q$7,0)</f>
        <v>0</v>
      </c>
      <c r="M67" s="92" t="n">
        <f aca="false">IF(J66*$Q$9&gt;$Q$10,(I67)*$Q$9*$Q$7,IF((J66+I67)*$Q$9&gt;$Q$10,((J66+I67)*$Q$9-$Q$10)*$Q$7,0))</f>
        <v>5855.83073372613</v>
      </c>
      <c r="N67" s="89" t="n">
        <f aca="false">I67-M67-L67</f>
        <v>27005.8861720349</v>
      </c>
    </row>
    <row r="68" customFormat="false" ht="15" hidden="false" customHeight="false" outlineLevel="0" collapsed="false">
      <c r="A68" s="91" t="n">
        <v>66</v>
      </c>
      <c r="B68" s="92" t="n">
        <f aca="false">IF(Übersicht!$C$13&gt;=A68,-Übersicht!$C$6,IF(A68=Übersicht!$C$13+1,Übersicht!$F$9,0))</f>
        <v>0</v>
      </c>
      <c r="C68" s="92" t="n">
        <f aca="false">C67+E68</f>
        <v>629251.432684226</v>
      </c>
      <c r="D68" s="92" t="n">
        <f aca="false">F67-I67</f>
        <v>1792789.22230319</v>
      </c>
      <c r="E68" s="92" t="n">
        <f aca="false">$Q$4+N67</f>
        <v>29405.8861720349</v>
      </c>
      <c r="F68" s="92" t="n">
        <f aca="false">IF(ISNUMBER(Übersicht!I23),(D68+E68)*(1+Übersicht!I23),(D68+E68)*(1+$Q$5))</f>
        <v>1931526.81498373</v>
      </c>
      <c r="G68" s="92" t="n">
        <f aca="false">F68-(E68+D68)</f>
        <v>109331.706508513</v>
      </c>
      <c r="H68" s="92" t="n">
        <f aca="false">IF(G68&gt;0,MIN((D68+E68)*$Q$8*0.7,G68),0)</f>
        <v>11097.1682106141</v>
      </c>
      <c r="I68" s="92" t="n">
        <f aca="false">F68*$Q$6</f>
        <v>34767.4826697072</v>
      </c>
      <c r="J68" s="92" t="n">
        <f aca="false">IF(G68&gt;0,MAX(H68-I68,0),0)</f>
        <v>0</v>
      </c>
      <c r="K68" s="92" t="n">
        <f aca="false">K67+J68</f>
        <v>0</v>
      </c>
      <c r="L68" s="92" t="n">
        <f aca="false">IF(J68*$Q$9&gt;$Q$10,(J68*$Q$9-$Q$10)*$Q$7,0)</f>
        <v>0</v>
      </c>
      <c r="M68" s="92" t="n">
        <f aca="false">IF(J67*$Q$9&gt;$Q$10,(I68)*$Q$9*$Q$7,IF((J67+I68)*$Q$9&gt;$Q$10,((J67+I68)*$Q$9-$Q$10)*$Q$7,0))</f>
        <v>6207.6827378947</v>
      </c>
      <c r="N68" s="89" t="n">
        <f aca="false">I68-M68-L68</f>
        <v>28559.7999318125</v>
      </c>
    </row>
    <row r="69" customFormat="false" ht="15" hidden="false" customHeight="false" outlineLevel="0" collapsed="false">
      <c r="A69" s="91" t="n">
        <v>67</v>
      </c>
      <c r="B69" s="92" t="n">
        <f aca="false">IF(Übersicht!$C$13&gt;=A69,-Übersicht!$C$6,IF(A69=Übersicht!$C$13+1,Übersicht!$F$9,0))</f>
        <v>0</v>
      </c>
      <c r="C69" s="92" t="n">
        <f aca="false">C68+E69</f>
        <v>660211.232616038</v>
      </c>
      <c r="D69" s="92" t="n">
        <f aca="false">F68-I68</f>
        <v>1896759.33231403</v>
      </c>
      <c r="E69" s="92" t="n">
        <f aca="false">$Q$4+N68</f>
        <v>30959.7999318125</v>
      </c>
      <c r="F69" s="92" t="n">
        <f aca="false">IF(ISNUMBER(Übersicht!I24),(D69+E69)*(1+Übersicht!I24),(D69+E69)*(1+$Q$5))</f>
        <v>2043382.28018059</v>
      </c>
      <c r="G69" s="92" t="n">
        <f aca="false">F69-(E69+D69)</f>
        <v>115663.14793475</v>
      </c>
      <c r="H69" s="92" t="n">
        <f aca="false">IF(G69&gt;0,MIN((D69+E69)*$Q$8*0.7,G69),0)</f>
        <v>11739.8095153772</v>
      </c>
      <c r="I69" s="92" t="n">
        <f aca="false">F69*$Q$6</f>
        <v>36780.8810432506</v>
      </c>
      <c r="J69" s="92" t="n">
        <f aca="false">IF(G69&gt;0,MAX(H69-I69,0),0)</f>
        <v>0</v>
      </c>
      <c r="K69" s="92" t="n">
        <f aca="false">K68+J69</f>
        <v>0</v>
      </c>
      <c r="L69" s="92" t="n">
        <f aca="false">IF(J69*$Q$9&gt;$Q$10,(J69*$Q$9-$Q$10)*$Q$7,0)</f>
        <v>0</v>
      </c>
      <c r="M69" s="92" t="n">
        <f aca="false">IF(J68*$Q$9&gt;$Q$10,(I69)*$Q$9*$Q$7,IF((J68+I69)*$Q$9&gt;$Q$10,((J68+I69)*$Q$9-$Q$10)*$Q$7,0))</f>
        <v>6579.40641261015</v>
      </c>
      <c r="N69" s="89" t="n">
        <f aca="false">I69-M69-L69</f>
        <v>30201.4746306405</v>
      </c>
    </row>
    <row r="70" customFormat="false" ht="15" hidden="false" customHeight="false" outlineLevel="0" collapsed="false">
      <c r="A70" s="91" t="n">
        <v>68</v>
      </c>
      <c r="B70" s="92" t="n">
        <f aca="false">IF(Übersicht!$C$13&gt;=A70,-Übersicht!$C$6,IF(A70=Übersicht!$C$13+1,Übersicht!$F$9,0))</f>
        <v>0</v>
      </c>
      <c r="C70" s="92" t="n">
        <f aca="false">C69+E70</f>
        <v>692812.707246679</v>
      </c>
      <c r="D70" s="92" t="n">
        <f aca="false">F69-I69</f>
        <v>2006601.39913734</v>
      </c>
      <c r="E70" s="92" t="n">
        <f aca="false">$Q$4+N69</f>
        <v>32601.4746306405</v>
      </c>
      <c r="F70" s="92" t="n">
        <f aca="false">IF(ISNUMBER(Übersicht!I25),(D70+E70)*(1+Übersicht!I25),(D70+E70)*(1+$Q$5))</f>
        <v>2161555.04619406</v>
      </c>
      <c r="G70" s="92" t="n">
        <f aca="false">F70-(E70+D70)</f>
        <v>122352.172426079</v>
      </c>
      <c r="H70" s="92" t="n">
        <f aca="false">IF(G70&gt;0,MIN((D70+E70)*$Q$8*0.7,G70),0)</f>
        <v>12418.745501247</v>
      </c>
      <c r="I70" s="92" t="n">
        <f aca="false">F70*$Q$6</f>
        <v>38907.9908314931</v>
      </c>
      <c r="J70" s="92" t="n">
        <f aca="false">IF(G70&gt;0,MAX(H70-I70,0),0)</f>
        <v>0</v>
      </c>
      <c r="K70" s="92" t="n">
        <f aca="false">K69+J70</f>
        <v>0</v>
      </c>
      <c r="L70" s="92" t="n">
        <f aca="false">IF(J70*$Q$9&gt;$Q$10,(J70*$Q$9-$Q$10)*$Q$7,0)</f>
        <v>0</v>
      </c>
      <c r="M70" s="92" t="n">
        <f aca="false">IF(J69*$Q$9&gt;$Q$10,(I70)*$Q$9*$Q$7,IF((J69+I70)*$Q$9&gt;$Q$10,((J69+I70)*$Q$9-$Q$10)*$Q$7,0))</f>
        <v>6972.12405726441</v>
      </c>
      <c r="N70" s="89" t="n">
        <f aca="false">I70-M70-L70</f>
        <v>31935.8667742287</v>
      </c>
    </row>
    <row r="71" customFormat="false" ht="15" hidden="false" customHeight="false" outlineLevel="0" collapsed="false">
      <c r="A71" s="91" t="n">
        <v>69</v>
      </c>
      <c r="B71" s="92" t="n">
        <f aca="false">IF(Übersicht!$C$13&gt;=A71,-Übersicht!$C$6,IF(A71=Übersicht!$C$13+1,Übersicht!$F$9,0))</f>
        <v>0</v>
      </c>
      <c r="C71" s="92" t="n">
        <f aca="false">C70+E71</f>
        <v>727148.574020908</v>
      </c>
      <c r="D71" s="92" t="n">
        <f aca="false">F70-I70</f>
        <v>2122647.05536257</v>
      </c>
      <c r="E71" s="92" t="n">
        <f aca="false">$Q$4+N70</f>
        <v>34335.8667742287</v>
      </c>
      <c r="F71" s="92" t="n">
        <f aca="false">IF(ISNUMBER(Übersicht!I26),(D71+E71)*(1+Übersicht!I26),(D71+E71)*(1+$Q$5))</f>
        <v>2286401.897465</v>
      </c>
      <c r="G71" s="92" t="n">
        <f aca="false">F71-(E71+D71)</f>
        <v>129418.975328208</v>
      </c>
      <c r="H71" s="92" t="n">
        <f aca="false">IF(G71&gt;0,MIN((D71+E71)*$Q$8*0.7,G71),0)</f>
        <v>13136.0259958131</v>
      </c>
      <c r="I71" s="92" t="n">
        <f aca="false">F71*$Q$6</f>
        <v>41155.2341543701</v>
      </c>
      <c r="J71" s="92" t="n">
        <f aca="false">IF(G71&gt;0,MAX(H71-I71,0),0)</f>
        <v>0</v>
      </c>
      <c r="K71" s="92" t="n">
        <f aca="false">K70+J71</f>
        <v>0</v>
      </c>
      <c r="L71" s="92" t="n">
        <f aca="false">IF(J71*$Q$9&gt;$Q$10,(J71*$Q$9-$Q$10)*$Q$7,0)</f>
        <v>0</v>
      </c>
      <c r="M71" s="92" t="n">
        <f aca="false">IF(J70*$Q$9&gt;$Q$10,(I71)*$Q$9*$Q$7,IF((J70+I71)*$Q$9&gt;$Q$10,((J70+I71)*$Q$9-$Q$10)*$Q$7,0))</f>
        <v>7387.02135575057</v>
      </c>
      <c r="N71" s="89" t="n">
        <f aca="false">I71-M71-L71</f>
        <v>33768.2127986195</v>
      </c>
    </row>
    <row r="72" customFormat="false" ht="15" hidden="false" customHeight="false" outlineLevel="0" collapsed="false">
      <c r="A72" s="91" t="n">
        <v>70</v>
      </c>
      <c r="B72" s="92" t="n">
        <f aca="false">IF(Übersicht!$C$13&gt;=A72,-Übersicht!$C$6,IF(A72=Übersicht!$C$13+1,Übersicht!$F$9,0))</f>
        <v>0</v>
      </c>
      <c r="C72" s="92" t="n">
        <f aca="false">C71+E72</f>
        <v>763316.786819527</v>
      </c>
      <c r="D72" s="92" t="n">
        <f aca="false">F71-I71</f>
        <v>2245246.66331063</v>
      </c>
      <c r="E72" s="92" t="n">
        <f aca="false">$Q$4+N71</f>
        <v>36168.2127986195</v>
      </c>
      <c r="F72" s="92" t="n">
        <f aca="false">IF(ISNUMBER(Übersicht!I27),(D72+E72)*(1+Übersicht!I27),(D72+E72)*(1+$Q$5))</f>
        <v>2418299.76867581</v>
      </c>
      <c r="G72" s="92" t="n">
        <f aca="false">F72-(E72+D72)</f>
        <v>136884.892566555</v>
      </c>
      <c r="H72" s="92" t="n">
        <f aca="false">IF(G72&gt;0,MIN((D72+E72)*$Q$8*0.7,G72),0)</f>
        <v>13893.8165955054</v>
      </c>
      <c r="I72" s="92" t="n">
        <f aca="false">F72*$Q$6</f>
        <v>43529.3958361646</v>
      </c>
      <c r="J72" s="92" t="n">
        <f aca="false">IF(G72&gt;0,MAX(H72-I72,0),0)</f>
        <v>0</v>
      </c>
      <c r="K72" s="92" t="n">
        <f aca="false">K71+J72</f>
        <v>0</v>
      </c>
      <c r="L72" s="92" t="n">
        <f aca="false">IF(J72*$Q$9&gt;$Q$10,(J72*$Q$9-$Q$10)*$Q$7,0)</f>
        <v>0</v>
      </c>
      <c r="M72" s="92" t="n">
        <f aca="false">IF(J71*$Q$9&gt;$Q$10,(I72)*$Q$9*$Q$7,IF((J71+I72)*$Q$9&gt;$Q$10,((J71+I72)*$Q$9-$Q$10)*$Q$7,0))</f>
        <v>7825.35095625188</v>
      </c>
      <c r="N72" s="89" t="n">
        <f aca="false">I72-M72-L72</f>
        <v>35704.0448799127</v>
      </c>
    </row>
    <row r="73" customFormat="false" ht="15" hidden="false" customHeight="false" outlineLevel="0" collapsed="false">
      <c r="A73" s="91" t="n">
        <v>71</v>
      </c>
      <c r="B73" s="92" t="n">
        <f aca="false">IF(Übersicht!$C$13&gt;=A73,-Übersicht!$C$6,IF(A73=Übersicht!$C$13+1,Übersicht!$F$9,0))</f>
        <v>0</v>
      </c>
      <c r="C73" s="92" t="n">
        <f aca="false">C72+E73</f>
        <v>801420.83169944</v>
      </c>
      <c r="D73" s="92" t="n">
        <f aca="false">F72-I72</f>
        <v>2374770.37283964</v>
      </c>
      <c r="E73" s="92" t="n">
        <f aca="false">$Q$4+N72</f>
        <v>38104.0448799127</v>
      </c>
      <c r="F73" s="92" t="n">
        <f aca="false">IF(ISNUMBER(Übersicht!I28),(D73+E73)*(1+Übersicht!I28),(D73+E73)*(1+$Q$5))</f>
        <v>2557646.88278273</v>
      </c>
      <c r="G73" s="92" t="n">
        <f aca="false">F73-(E73+D73)</f>
        <v>144772.465063173</v>
      </c>
      <c r="H73" s="92" t="n">
        <f aca="false">IF(G73&gt;0,MIN((D73+E73)*$Q$8*0.7,G73),0)</f>
        <v>14694.4052039121</v>
      </c>
      <c r="I73" s="92" t="n">
        <f aca="false">F73*$Q$6</f>
        <v>46037.6438900891</v>
      </c>
      <c r="J73" s="92" t="n">
        <f aca="false">IF(G73&gt;0,MAX(H73-I73,0),0)</f>
        <v>0</v>
      </c>
      <c r="K73" s="92" t="n">
        <f aca="false">K72+J73</f>
        <v>0</v>
      </c>
      <c r="L73" s="92" t="n">
        <f aca="false">IF(J73*$Q$9&gt;$Q$10,(J73*$Q$9-$Q$10)*$Q$7,0)</f>
        <v>0</v>
      </c>
      <c r="M73" s="92" t="n">
        <f aca="false">IF(J72*$Q$9&gt;$Q$10,(I73)*$Q$9*$Q$7,IF((J72+I73)*$Q$9&gt;$Q$10,((J72+I73)*$Q$9-$Q$10)*$Q$7,0))</f>
        <v>8288.4362532077</v>
      </c>
      <c r="N73" s="89" t="n">
        <f aca="false">I73-M73-L73</f>
        <v>37749.2076368814</v>
      </c>
    </row>
    <row r="74" customFormat="false" ht="15" hidden="false" customHeight="false" outlineLevel="0" collapsed="false">
      <c r="A74" s="91" t="n">
        <v>72</v>
      </c>
      <c r="B74" s="92" t="n">
        <f aca="false">IF(Übersicht!$C$13&gt;=A74,-Übersicht!$C$6,IF(A74=Übersicht!$C$13+1,Übersicht!$F$9,0))</f>
        <v>0</v>
      </c>
      <c r="C74" s="92" t="n">
        <f aca="false">C73+E74</f>
        <v>841570.039336321</v>
      </c>
      <c r="D74" s="92" t="n">
        <f aca="false">F73-I73</f>
        <v>2511609.23889264</v>
      </c>
      <c r="E74" s="92" t="n">
        <f aca="false">$Q$4+N73</f>
        <v>40149.2076368814</v>
      </c>
      <c r="F74" s="92" t="n">
        <f aca="false">IF(ISNUMBER(Übersicht!I29),(D74+E74)*(1+Übersicht!I29),(D74+E74)*(1+$Q$5))</f>
        <v>2704863.95332129</v>
      </c>
      <c r="G74" s="92" t="n">
        <f aca="false">F74-(E74+D74)</f>
        <v>153105.506791771</v>
      </c>
      <c r="H74" s="92" t="n">
        <f aca="false">IF(G74&gt;0,MIN((D74+E74)*$Q$8*0.7,G74),0)</f>
        <v>15540.2089393648</v>
      </c>
      <c r="I74" s="92" t="n">
        <f aca="false">F74*$Q$6</f>
        <v>48687.5511597833</v>
      </c>
      <c r="J74" s="92" t="n">
        <f aca="false">IF(G74&gt;0,MAX(H74-I74,0),0)</f>
        <v>0</v>
      </c>
      <c r="K74" s="92" t="n">
        <f aca="false">K73+J74</f>
        <v>0</v>
      </c>
      <c r="L74" s="92" t="n">
        <f aca="false">IF(J74*$Q$9&gt;$Q$10,(J74*$Q$9-$Q$10)*$Q$7,0)</f>
        <v>0</v>
      </c>
      <c r="M74" s="92" t="n">
        <f aca="false">IF(J73*$Q$9&gt;$Q$10,(I74)*$Q$9*$Q$7,IF((J73+I74)*$Q$9&gt;$Q$10,((J73+I74)*$Q$9-$Q$10)*$Q$7,0))</f>
        <v>8777.67538287499</v>
      </c>
      <c r="N74" s="89" t="n">
        <f aca="false">I74-M74-L74</f>
        <v>39909.8757769083</v>
      </c>
    </row>
    <row r="75" customFormat="false" ht="15" hidden="false" customHeight="false" outlineLevel="0" collapsed="false">
      <c r="A75" s="91" t="n">
        <v>73</v>
      </c>
      <c r="B75" s="92" t="n">
        <f aca="false">IF(Übersicht!$C$13&gt;=A75,-Übersicht!$C$6,IF(A75=Übersicht!$C$13+1,Übersicht!$F$9,0))</f>
        <v>0</v>
      </c>
      <c r="C75" s="92" t="n">
        <f aca="false">C74+E75</f>
        <v>883879.915113229</v>
      </c>
      <c r="D75" s="92" t="n">
        <f aca="false">F74-I74</f>
        <v>2656176.40216151</v>
      </c>
      <c r="E75" s="92" t="n">
        <f aca="false">$Q$4+N74</f>
        <v>42309.8757769083</v>
      </c>
      <c r="F75" s="92" t="n">
        <f aca="false">IF(ISNUMBER(Übersicht!I30),(D75+E75)*(1+Übersicht!I30),(D75+E75)*(1+$Q$5))</f>
        <v>2860395.45461472</v>
      </c>
      <c r="G75" s="92" t="n">
        <f aca="false">F75-(E75+D75)</f>
        <v>161909.176676305</v>
      </c>
      <c r="H75" s="92" t="n">
        <f aca="false">IF(G75&gt;0,MIN((D75+E75)*$Q$8*0.7,G75),0)</f>
        <v>16433.781432645</v>
      </c>
      <c r="I75" s="92" t="n">
        <f aca="false">F75*$Q$6</f>
        <v>51487.118183065</v>
      </c>
      <c r="J75" s="92" t="n">
        <f aca="false">IF(G75&gt;0,MAX(H75-I75,0),0)</f>
        <v>0</v>
      </c>
      <c r="K75" s="92" t="n">
        <f aca="false">K74+J75</f>
        <v>0</v>
      </c>
      <c r="L75" s="92" t="n">
        <f aca="false">IF(J75*$Q$9&gt;$Q$10,(J75*$Q$9-$Q$10)*$Q$7,0)</f>
        <v>0</v>
      </c>
      <c r="M75" s="92" t="n">
        <f aca="false">IF(J74*$Q$9&gt;$Q$10,(I75)*$Q$9*$Q$7,IF((J74+I75)*$Q$9&gt;$Q$10,((J74+I75)*$Q$9-$Q$10)*$Q$7,0))</f>
        <v>9294.54544454838</v>
      </c>
      <c r="N75" s="89" t="n">
        <f aca="false">I75-M75-L75</f>
        <v>42192.5727385167</v>
      </c>
    </row>
    <row r="76" customFormat="false" ht="15" hidden="false" customHeight="false" outlineLevel="0" collapsed="false">
      <c r="A76" s="91" t="n">
        <v>74</v>
      </c>
      <c r="B76" s="92" t="n">
        <f aca="false">IF(Übersicht!$C$13&gt;=A76,-Übersicht!$C$6,IF(A76=Übersicht!$C$13+1,Übersicht!$F$9,0))</f>
        <v>0</v>
      </c>
      <c r="C76" s="92" t="n">
        <f aca="false">C75+E76</f>
        <v>928472.487851746</v>
      </c>
      <c r="D76" s="92" t="n">
        <f aca="false">F75-I75</f>
        <v>2808908.33643166</v>
      </c>
      <c r="E76" s="92" t="n">
        <f aca="false">$Q$4+N75</f>
        <v>44592.5727385167</v>
      </c>
      <c r="F76" s="92" t="n">
        <f aca="false">IF(ISNUMBER(Übersicht!I31),(D76+E76)*(1+Übersicht!I31),(D76+E76)*(1+$Q$5))</f>
        <v>3024710.96372039</v>
      </c>
      <c r="G76" s="92" t="n">
        <f aca="false">F76-(E76+D76)</f>
        <v>171210.05455021</v>
      </c>
      <c r="H76" s="92" t="n">
        <f aca="false">IF(G76&gt;0,MIN((D76+E76)*$Q$8*0.7,G76),0)</f>
        <v>17377.8205368464</v>
      </c>
      <c r="I76" s="92" t="n">
        <f aca="false">F76*$Q$6</f>
        <v>54444.797346967</v>
      </c>
      <c r="J76" s="92" t="n">
        <f aca="false">IF(G76&gt;0,MAX(H76-I76,0),0)</f>
        <v>0</v>
      </c>
      <c r="K76" s="92" t="n">
        <f aca="false">K75+J76</f>
        <v>0</v>
      </c>
      <c r="L76" s="92" t="n">
        <f aca="false">IF(J76*$Q$9&gt;$Q$10,(J76*$Q$9-$Q$10)*$Q$7,0)</f>
        <v>0</v>
      </c>
      <c r="M76" s="92" t="n">
        <f aca="false">IF(J75*$Q$9&gt;$Q$10,(I76)*$Q$9*$Q$7,IF((J75+I76)*$Q$9&gt;$Q$10,((J75+I76)*$Q$9-$Q$10)*$Q$7,0))</f>
        <v>9840.60696018377</v>
      </c>
      <c r="N76" s="89" t="n">
        <f aca="false">I76-M76-L76</f>
        <v>44604.1903867832</v>
      </c>
    </row>
    <row r="77" customFormat="false" ht="15" hidden="false" customHeight="false" outlineLevel="0" collapsed="false">
      <c r="A77" s="91" t="n">
        <v>75</v>
      </c>
      <c r="B77" s="92" t="n">
        <f aca="false">IF(Übersicht!$C$13&gt;=A77,-Übersicht!$C$6,IF(A77=Übersicht!$C$13+1,Übersicht!$F$9,0))</f>
        <v>0</v>
      </c>
      <c r="C77" s="92" t="n">
        <f aca="false">C76+E77</f>
        <v>975476.678238529</v>
      </c>
      <c r="D77" s="92" t="n">
        <f aca="false">F76-I76</f>
        <v>2970266.16637342</v>
      </c>
      <c r="E77" s="92" t="n">
        <f aca="false">$Q$4+N76</f>
        <v>47004.1903867832</v>
      </c>
      <c r="F77" s="92" t="n">
        <f aca="false">IF(ISNUMBER(Übersicht!I32),(D77+E77)*(1+Übersicht!I32),(D77+E77)*(1+$Q$5))</f>
        <v>3198306.57816581</v>
      </c>
      <c r="G77" s="92" t="n">
        <f aca="false">F77-(E77+D77)</f>
        <v>181036.221405612</v>
      </c>
      <c r="H77" s="92" t="n">
        <f aca="false">IF(G77&gt;0,MIN((D77+E77)*$Q$8*0.7,G77),0)</f>
        <v>18375.1764726696</v>
      </c>
      <c r="I77" s="92" t="n">
        <f aca="false">F77*$Q$6</f>
        <v>57569.5184069847</v>
      </c>
      <c r="J77" s="92" t="n">
        <f aca="false">IF(G77&gt;0,MAX(H77-I77,0),0)</f>
        <v>0</v>
      </c>
      <c r="K77" s="92" t="n">
        <f aca="false">K76+J77</f>
        <v>0</v>
      </c>
      <c r="L77" s="92" t="n">
        <f aca="false">IF(J77*$Q$9&gt;$Q$10,(J77*$Q$9-$Q$10)*$Q$7,0)</f>
        <v>0</v>
      </c>
      <c r="M77" s="92" t="n">
        <f aca="false">IF(J76*$Q$9&gt;$Q$10,(I77)*$Q$9*$Q$7,IF((J76+I77)*$Q$9&gt;$Q$10,((J76+I77)*$Q$9-$Q$10)*$Q$7,0))</f>
        <v>10417.5085858895</v>
      </c>
      <c r="N77" s="89" t="n">
        <f aca="false">I77-M77-L77</f>
        <v>47152.0098210951</v>
      </c>
    </row>
    <row r="78" customFormat="false" ht="15" hidden="false" customHeight="false" outlineLevel="0" collapsed="false">
      <c r="A78" s="91" t="n">
        <v>76</v>
      </c>
      <c r="B78" s="92" t="n">
        <f aca="false">IF(Übersicht!$C$13&gt;=A78,-Übersicht!$C$6,IF(A78=Übersicht!$C$13+1,Übersicht!$F$9,0))</f>
        <v>0</v>
      </c>
      <c r="C78" s="92" t="n">
        <f aca="false">C77+E78</f>
        <v>1025028.68805962</v>
      </c>
      <c r="D78" s="92" t="n">
        <f aca="false">F77-I77</f>
        <v>3140737.05975883</v>
      </c>
      <c r="E78" s="92" t="n">
        <f aca="false">$Q$4+N77</f>
        <v>49552.0098210951</v>
      </c>
      <c r="F78" s="92" t="n">
        <f aca="false">IF(ISNUMBER(Übersicht!I33),(D78+E78)*(1+Übersicht!I33),(D78+E78)*(1+$Q$5))</f>
        <v>3381706.41375472</v>
      </c>
      <c r="G78" s="92" t="n">
        <f aca="false">F78-(E78+D78)</f>
        <v>191417.344174796</v>
      </c>
      <c r="H78" s="92" t="n">
        <f aca="false">IF(G78&gt;0,MIN((D78+E78)*$Q$8*0.7,G78),0)</f>
        <v>19428.8604337417</v>
      </c>
      <c r="I78" s="92" t="n">
        <f aca="false">F78*$Q$6</f>
        <v>60870.715447585</v>
      </c>
      <c r="J78" s="92" t="n">
        <f aca="false">IF(G78&gt;0,MAX(H78-I78,0),0)</f>
        <v>0</v>
      </c>
      <c r="K78" s="92" t="n">
        <f aca="false">K77+J78</f>
        <v>0</v>
      </c>
      <c r="L78" s="92" t="n">
        <f aca="false">IF(J78*$Q$9&gt;$Q$10,(J78*$Q$9-$Q$10)*$Q$7,0)</f>
        <v>0</v>
      </c>
      <c r="M78" s="92" t="n">
        <f aca="false">IF(J77*$Q$9&gt;$Q$10,(I78)*$Q$9*$Q$7,IF((J77+I78)*$Q$9&gt;$Q$10,((J77+I78)*$Q$9-$Q$10)*$Q$7,0))</f>
        <v>11026.9920895104</v>
      </c>
      <c r="N78" s="89" t="n">
        <f aca="false">I78-M78-L78</f>
        <v>49843.7233580746</v>
      </c>
    </row>
    <row r="79" customFormat="false" ht="15" hidden="false" customHeight="false" outlineLevel="0" collapsed="false">
      <c r="A79" s="91" t="n">
        <v>77</v>
      </c>
      <c r="B79" s="92" t="n">
        <f aca="false">IF(Übersicht!$C$13&gt;=A79,-Übersicht!$C$6,IF(A79=Übersicht!$C$13+1,Übersicht!$F$9,0))</f>
        <v>0</v>
      </c>
      <c r="C79" s="92" t="n">
        <f aca="false">C78+E79</f>
        <v>1077272.4114177</v>
      </c>
      <c r="D79" s="92" t="n">
        <f aca="false">F78-I78</f>
        <v>3320835.69830714</v>
      </c>
      <c r="E79" s="92" t="n">
        <f aca="false">$Q$4+N78</f>
        <v>52243.7233580746</v>
      </c>
      <c r="F79" s="92" t="n">
        <f aca="false">IF(ISNUMBER(Übersicht!I34),(D79+E79)*(1+Übersicht!I34),(D79+E79)*(1+$Q$5))</f>
        <v>3575464.18696512</v>
      </c>
      <c r="G79" s="92" t="n">
        <f aca="false">F79-(E79+D79)</f>
        <v>202384.765299913</v>
      </c>
      <c r="H79" s="92" t="n">
        <f aca="false">IF(G79&gt;0,MIN((D79+E79)*$Q$8*0.7,G79),0)</f>
        <v>20542.0536779411</v>
      </c>
      <c r="I79" s="92" t="n">
        <f aca="false">F79*$Q$6</f>
        <v>64358.3553653722</v>
      </c>
      <c r="J79" s="92" t="n">
        <f aca="false">IF(G79&gt;0,MAX(H79-I79,0),0)</f>
        <v>0</v>
      </c>
      <c r="K79" s="92" t="n">
        <f aca="false">K78+J79</f>
        <v>0</v>
      </c>
      <c r="L79" s="92" t="n">
        <f aca="false">IF(J79*$Q$9&gt;$Q$10,(J79*$Q$9-$Q$10)*$Q$7,0)</f>
        <v>0</v>
      </c>
      <c r="M79" s="92" t="n">
        <f aca="false">IF(J78*$Q$9&gt;$Q$10,(I79)*$Q$9*$Q$7,IF((J78+I79)*$Q$9&gt;$Q$10,((J78+I79)*$Q$9-$Q$10)*$Q$7,0))</f>
        <v>11670.8976093318</v>
      </c>
      <c r="N79" s="89" t="n">
        <f aca="false">I79-M79-L79</f>
        <v>52687.4577560404</v>
      </c>
    </row>
    <row r="80" customFormat="false" ht="15" hidden="false" customHeight="false" outlineLevel="0" collapsed="false">
      <c r="A80" s="91" t="n">
        <v>78</v>
      </c>
      <c r="B80" s="92" t="n">
        <f aca="false">IF(Übersicht!$C$13&gt;=A80,-Übersicht!$C$6,IF(A80=Übersicht!$C$13+1,Übersicht!$F$9,0))</f>
        <v>0</v>
      </c>
      <c r="C80" s="92" t="n">
        <f aca="false">C79+E80</f>
        <v>1132359.86917374</v>
      </c>
      <c r="D80" s="92" t="n">
        <f aca="false">F79-I79</f>
        <v>3511105.83159975</v>
      </c>
      <c r="E80" s="92" t="n">
        <f aca="false">$Q$4+N79</f>
        <v>55087.4577560404</v>
      </c>
      <c r="F80" s="92" t="n">
        <f aca="false">IF(ISNUMBER(Übersicht!I35),(D80+E80)*(1+Übersicht!I35),(D80+E80)*(1+$Q$5))</f>
        <v>3780164.88671714</v>
      </c>
      <c r="G80" s="92" t="n">
        <f aca="false">F80-(E80+D80)</f>
        <v>213971.597361348</v>
      </c>
      <c r="H80" s="92" t="n">
        <f aca="false">IF(G80&gt;0,MIN((D80+E80)*$Q$8*0.7,G80),0)</f>
        <v>21718.1171321768</v>
      </c>
      <c r="I80" s="92" t="n">
        <f aca="false">F80*$Q$6</f>
        <v>68042.9679609085</v>
      </c>
      <c r="J80" s="92" t="n">
        <f aca="false">IF(G80&gt;0,MAX(H80-I80,0),0)</f>
        <v>0</v>
      </c>
      <c r="K80" s="92" t="n">
        <f aca="false">K79+J80</f>
        <v>0</v>
      </c>
      <c r="L80" s="92" t="n">
        <f aca="false">IF(J80*$Q$9&gt;$Q$10,(J80*$Q$9-$Q$10)*$Q$7,0)</f>
        <v>0</v>
      </c>
      <c r="M80" s="92" t="n">
        <f aca="false">IF(J79*$Q$9&gt;$Q$10,(I80)*$Q$9*$Q$7,IF((J79+I80)*$Q$9&gt;$Q$10,((J79+I80)*$Q$9-$Q$10)*$Q$7,0))</f>
        <v>12351.1692097827</v>
      </c>
      <c r="N80" s="89" t="n">
        <f aca="false">I80-M80-L80</f>
        <v>55691.7987511258</v>
      </c>
    </row>
    <row r="81" customFormat="false" ht="15" hidden="false" customHeight="false" outlineLevel="0" collapsed="false">
      <c r="A81" s="91" t="n">
        <v>79</v>
      </c>
      <c r="B81" s="92" t="n">
        <f aca="false">IF(Übersicht!$C$13&gt;=A81,-Übersicht!$C$6,IF(A81=Übersicht!$C$13+1,Übersicht!$F$9,0))</f>
        <v>0</v>
      </c>
      <c r="C81" s="92" t="n">
        <f aca="false">C80+E81</f>
        <v>1190451.66792487</v>
      </c>
      <c r="D81" s="92" t="n">
        <f aca="false">F80-I80</f>
        <v>3712121.91875623</v>
      </c>
      <c r="E81" s="92" t="n">
        <f aca="false">$Q$4+N80</f>
        <v>58091.7987511258</v>
      </c>
      <c r="F81" s="92" t="n">
        <f aca="false">IF(ISNUMBER(Übersicht!I36),(D81+E81)*(1+Übersicht!I36),(D81+E81)*(1+$Q$5))</f>
        <v>3996426.5405578</v>
      </c>
      <c r="G81" s="92" t="n">
        <f aca="false">F81-(E81+D81)</f>
        <v>226212.823050442</v>
      </c>
      <c r="H81" s="92" t="n">
        <f aca="false">IF(G81&gt;0,MIN((D81+E81)*$Q$8*0.7,G81),0)</f>
        <v>22960.6015396198</v>
      </c>
      <c r="I81" s="92" t="n">
        <f aca="false">F81*$Q$6</f>
        <v>71935.6777300404</v>
      </c>
      <c r="J81" s="92" t="n">
        <f aca="false">IF(G81&gt;0,MAX(H81-I81,0),0)</f>
        <v>0</v>
      </c>
      <c r="K81" s="92" t="n">
        <f aca="false">K80+J81</f>
        <v>0</v>
      </c>
      <c r="L81" s="92" t="n">
        <f aca="false">IF(J81*$Q$9&gt;$Q$10,(J81*$Q$9-$Q$10)*$Q$7,0)</f>
        <v>0</v>
      </c>
      <c r="M81" s="92" t="n">
        <f aca="false">IF(J80*$Q$9&gt;$Q$10,(I81)*$Q$9*$Q$7,IF((J80+I81)*$Q$9&gt;$Q$10,((J80+I81)*$Q$9-$Q$10)*$Q$7,0))</f>
        <v>13069.8607509087</v>
      </c>
      <c r="N81" s="89" t="n">
        <f aca="false">I81-M81-L81</f>
        <v>58865.8169791317</v>
      </c>
    </row>
    <row r="82" customFormat="false" ht="15" hidden="false" customHeight="false" outlineLevel="0" collapsed="false">
      <c r="A82" s="91" t="n">
        <v>80</v>
      </c>
      <c r="B82" s="92" t="n">
        <f aca="false">IF(Übersicht!$C$13&gt;=A82,-Übersicht!$C$6,IF(A82=Übersicht!$C$13+1,Übersicht!$F$9,0))</f>
        <v>0</v>
      </c>
      <c r="C82" s="92" t="n">
        <f aca="false">C81+E82</f>
        <v>1251717.484904</v>
      </c>
      <c r="D82" s="92" t="n">
        <f aca="false">F81-I81</f>
        <v>3924490.86282776</v>
      </c>
      <c r="E82" s="92" t="n">
        <f aca="false">$Q$4+N81</f>
        <v>61265.8169791316</v>
      </c>
      <c r="F82" s="92" t="n">
        <f aca="false">IF(ISNUMBER(Übersicht!I37),(D82+E82)*(1+Übersicht!I37),(D82+E82)*(1+$Q$5))</f>
        <v>4224902.0805953</v>
      </c>
      <c r="G82" s="92" t="n">
        <f aca="false">F82-(E82+D82)</f>
        <v>239145.400788413</v>
      </c>
      <c r="H82" s="92" t="n">
        <f aca="false">IF(G82&gt;0,MIN((D82+E82)*$Q$8*0.7,G82),0)</f>
        <v>24273.2581800239</v>
      </c>
      <c r="I82" s="92" t="n">
        <f aca="false">F82*$Q$6</f>
        <v>76048.2374507154</v>
      </c>
      <c r="J82" s="92" t="n">
        <f aca="false">IF(G82&gt;0,MAX(H82-I82,0),0)</f>
        <v>0</v>
      </c>
      <c r="K82" s="92" t="n">
        <f aca="false">K81+J82</f>
        <v>0</v>
      </c>
      <c r="L82" s="92" t="n">
        <f aca="false">IF(J82*$Q$9&gt;$Q$10,(J82*$Q$9-$Q$10)*$Q$7,0)</f>
        <v>0</v>
      </c>
      <c r="M82" s="92" t="n">
        <f aca="false">IF(J81*$Q$9&gt;$Q$10,(I82)*$Q$9*$Q$7,IF((J81+I82)*$Q$9&gt;$Q$10,((J81+I82)*$Q$9-$Q$10)*$Q$7,0))</f>
        <v>13829.1420893383</v>
      </c>
      <c r="N82" s="89" t="n">
        <f aca="false">I82-M82-L82</f>
        <v>62219.0953613771</v>
      </c>
    </row>
    <row r="83" customFormat="false" ht="15" hidden="false" customHeight="false" outlineLevel="0" collapsed="false">
      <c r="A83" s="91" t="n">
        <v>81</v>
      </c>
      <c r="B83" s="92" t="n">
        <f aca="false">IF(Übersicht!$C$13&gt;=A83,-Übersicht!$C$6,IF(A83=Übersicht!$C$13+1,Übersicht!$F$9,0))</f>
        <v>0</v>
      </c>
      <c r="C83" s="92" t="n">
        <f aca="false">C82+E83</f>
        <v>1316336.58026537</v>
      </c>
      <c r="D83" s="92" t="n">
        <f aca="false">F82-I82</f>
        <v>4148853.84314459</v>
      </c>
      <c r="E83" s="92" t="n">
        <f aca="false">$Q$4+N82</f>
        <v>64619.0953613771</v>
      </c>
      <c r="F83" s="92" t="n">
        <f aca="false">IF(ISNUMBER(Übersicht!K18),(D83+E83)*(1+Übersicht!K18),(D83+E83)*(1+$Q$5))</f>
        <v>4466281.31481632</v>
      </c>
      <c r="G83" s="92" t="n">
        <f aca="false">F83-(E83+D83)</f>
        <v>252808.376310358</v>
      </c>
      <c r="H83" s="92" t="n">
        <f aca="false">IF(G83&gt;0,MIN((D83+E83)*$Q$8*0.7,G83),0)</f>
        <v>25660.0501955013</v>
      </c>
      <c r="I83" s="92" t="n">
        <f aca="false">F83*$Q$6</f>
        <v>80393.0636666938</v>
      </c>
      <c r="J83" s="92" t="n">
        <f aca="false">IF(G83&gt;0,MAX(H83-I83,0),0)</f>
        <v>0</v>
      </c>
      <c r="K83" s="92" t="n">
        <f aca="false">K82+J83</f>
        <v>0</v>
      </c>
      <c r="L83" s="92" t="n">
        <f aca="false">IF(J83*$Q$9&gt;$Q$10,(J83*$Q$9-$Q$10)*$Q$7,0)</f>
        <v>0</v>
      </c>
      <c r="M83" s="92" t="n">
        <f aca="false">IF(J82*$Q$9&gt;$Q$10,(I83)*$Q$9*$Q$7,IF((J82+I83)*$Q$9&gt;$Q$10,((J82+I83)*$Q$9-$Q$10)*$Q$7,0))</f>
        <v>14631.3056294633</v>
      </c>
      <c r="N83" s="89" t="n">
        <f aca="false">I83-M83-L83</f>
        <v>65761.7580372304</v>
      </c>
    </row>
    <row r="84" customFormat="false" ht="15" hidden="false" customHeight="false" outlineLevel="0" collapsed="false">
      <c r="A84" s="91" t="n">
        <v>82</v>
      </c>
      <c r="B84" s="92" t="n">
        <f aca="false">IF(Übersicht!$C$13&gt;=A84,-Übersicht!$C$6,IF(A84=Übersicht!$C$13+1,Übersicht!$F$9,0))</f>
        <v>0</v>
      </c>
      <c r="C84" s="92" t="n">
        <f aca="false">C83+E84</f>
        <v>1384498.3383026</v>
      </c>
      <c r="D84" s="92" t="n">
        <f aca="false">F83-I83</f>
        <v>4385888.25114963</v>
      </c>
      <c r="E84" s="92" t="n">
        <f aca="false">$Q$4+N83</f>
        <v>68161.7580372304</v>
      </c>
      <c r="F84" s="92" t="n">
        <f aca="false">IF(ISNUMBER(Übersicht!K19),(D84+E84)*(1+Übersicht!K19),(D84+E84)*(1+$Q$5))</f>
        <v>4721293.00973807</v>
      </c>
      <c r="G84" s="92" t="n">
        <f aca="false">F84-(E84+D84)</f>
        <v>267243.000551212</v>
      </c>
      <c r="H84" s="92" t="n">
        <f aca="false">IF(G84&gt;0,MIN((D84+E84)*$Q$8*0.7,G84),0)</f>
        <v>27125.164555948</v>
      </c>
      <c r="I84" s="92" t="n">
        <f aca="false">F84*$Q$6</f>
        <v>84983.2741752852</v>
      </c>
      <c r="J84" s="92" t="n">
        <f aca="false">IF(G84&gt;0,MAX(H84-I84,0),0)</f>
        <v>0</v>
      </c>
      <c r="K84" s="92" t="n">
        <f aca="false">K83+J84</f>
        <v>0</v>
      </c>
      <c r="L84" s="92" t="n">
        <f aca="false">IF(J84*$Q$9&gt;$Q$10,(J84*$Q$9-$Q$10)*$Q$7,0)</f>
        <v>0</v>
      </c>
      <c r="M84" s="92" t="n">
        <f aca="false">IF(J83*$Q$9&gt;$Q$10,(I84)*$Q$9*$Q$7,IF((J83+I84)*$Q$9&gt;$Q$10,((J83+I84)*$Q$9-$Q$10)*$Q$7,0))</f>
        <v>15478.773244612</v>
      </c>
      <c r="N84" s="89" t="n">
        <f aca="false">I84-M84-L84</f>
        <v>69504.5009306732</v>
      </c>
    </row>
    <row r="85" customFormat="false" ht="15" hidden="false" customHeight="false" outlineLevel="0" collapsed="false">
      <c r="A85" s="91" t="n">
        <v>83</v>
      </c>
      <c r="B85" s="92" t="n">
        <f aca="false">IF(Übersicht!$C$13&gt;=A85,-Übersicht!$C$6,IF(A85=Übersicht!$C$13+1,Übersicht!$F$9,0))</f>
        <v>0</v>
      </c>
      <c r="C85" s="92" t="n">
        <f aca="false">C84+E85</f>
        <v>1456402.83923328</v>
      </c>
      <c r="D85" s="92" t="n">
        <f aca="false">F84-I84</f>
        <v>4636309.73556278</v>
      </c>
      <c r="E85" s="92" t="n">
        <f aca="false">$Q$4+N84</f>
        <v>71904.5009306732</v>
      </c>
      <c r="F85" s="92" t="n">
        <f aca="false">IF(ISNUMBER(Übersicht!K20),(D85+E85)*(1+Übersicht!K20),(D85+E85)*(1+$Q$5))</f>
        <v>4990707.09068306</v>
      </c>
      <c r="G85" s="92" t="n">
        <f aca="false">F85-(E85+D85)</f>
        <v>282492.854189607</v>
      </c>
      <c r="H85" s="92" t="n">
        <f aca="false">IF(G85&gt;0,MIN((D85+E85)*$Q$8*0.7,G85),0)</f>
        <v>28673.0247002451</v>
      </c>
      <c r="I85" s="92" t="n">
        <f aca="false">F85*$Q$6</f>
        <v>89832.7276322951</v>
      </c>
      <c r="J85" s="92" t="n">
        <f aca="false">IF(G85&gt;0,MAX(H85-I85,0),0)</f>
        <v>0</v>
      </c>
      <c r="K85" s="92" t="n">
        <f aca="false">K84+J85</f>
        <v>0</v>
      </c>
      <c r="L85" s="92" t="n">
        <f aca="false">IF(J85*$Q$9&gt;$Q$10,(J85*$Q$9-$Q$10)*$Q$7,0)</f>
        <v>0</v>
      </c>
      <c r="M85" s="92" t="n">
        <f aca="false">IF(J84*$Q$9&gt;$Q$10,(I85)*$Q$9*$Q$7,IF((J84+I85)*$Q$9&gt;$Q$10,((J84+I85)*$Q$9-$Q$10)*$Q$7,0))</f>
        <v>16374.1035891125</v>
      </c>
      <c r="N85" s="89" t="n">
        <f aca="false">I85-M85-L85</f>
        <v>73458.6240431827</v>
      </c>
    </row>
    <row r="86" customFormat="false" ht="15" hidden="false" customHeight="false" outlineLevel="0" collapsed="false">
      <c r="A86" s="91" t="n">
        <v>84</v>
      </c>
      <c r="B86" s="92" t="n">
        <f aca="false">IF(Übersicht!$C$13&gt;=A86,-Übersicht!$C$6,IF(A86=Übersicht!$C$13+1,Übersicht!$F$9,0))</f>
        <v>0</v>
      </c>
      <c r="C86" s="92" t="n">
        <f aca="false">C85+E86</f>
        <v>1532261.46327646</v>
      </c>
      <c r="D86" s="92" t="n">
        <f aca="false">F85-I85</f>
        <v>4900874.36305077</v>
      </c>
      <c r="E86" s="92" t="n">
        <f aca="false">$Q$4+N85</f>
        <v>75858.6240431827</v>
      </c>
      <c r="F86" s="92" t="n">
        <f aca="false">IF(ISNUMBER(Übersicht!K21),(D86+E86)*(1+Übersicht!K21),(D86+E86)*(1+$Q$5))</f>
        <v>5275336.96631959</v>
      </c>
      <c r="G86" s="92" t="n">
        <f aca="false">F86-(E86+D86)</f>
        <v>298603.979225637</v>
      </c>
      <c r="H86" s="92" t="n">
        <f aca="false">IF(G86&gt;0,MIN((D86+E86)*$Q$8*0.7,G86),0)</f>
        <v>30308.3038914022</v>
      </c>
      <c r="I86" s="92" t="n">
        <f aca="false">F86*$Q$6</f>
        <v>94956.0653937526</v>
      </c>
      <c r="J86" s="92" t="n">
        <f aca="false">IF(G86&gt;0,MAX(H86-I86,0),0)</f>
        <v>0</v>
      </c>
      <c r="K86" s="92" t="n">
        <f aca="false">K85+J86</f>
        <v>0</v>
      </c>
      <c r="L86" s="92" t="n">
        <f aca="false">IF(J86*$Q$9&gt;$Q$10,(J86*$Q$9-$Q$10)*$Q$7,0)</f>
        <v>0</v>
      </c>
      <c r="M86" s="92" t="n">
        <f aca="false">IF(J85*$Q$9&gt;$Q$10,(I86)*$Q$9*$Q$7,IF((J85+I86)*$Q$9&gt;$Q$10,((J85+I86)*$Q$9-$Q$10)*$Q$7,0))</f>
        <v>17319.9998233216</v>
      </c>
      <c r="N86" s="89" t="n">
        <f aca="false">I86-M86-L86</f>
        <v>77636.065570431</v>
      </c>
    </row>
    <row r="87" customFormat="false" ht="15" hidden="false" customHeight="false" outlineLevel="0" collapsed="false">
      <c r="A87" s="91" t="n">
        <v>85</v>
      </c>
      <c r="B87" s="92" t="n">
        <f aca="false">IF(Übersicht!$C$13&gt;=A87,-Übersicht!$C$6,IF(A87=Übersicht!$C$13+1,Übersicht!$F$9,0))</f>
        <v>0</v>
      </c>
      <c r="C87" s="92" t="n">
        <f aca="false">C86+E87</f>
        <v>1612297.52884689</v>
      </c>
      <c r="D87" s="92" t="n">
        <f aca="false">F86-I86</f>
        <v>5180380.90092584</v>
      </c>
      <c r="E87" s="92" t="n">
        <f aca="false">$Q$4+N86</f>
        <v>80036.065570431</v>
      </c>
      <c r="F87" s="92" t="n">
        <f aca="false">IF(ISNUMBER(Übersicht!K22),(D87+E87)*(1+Übersicht!K22),(D87+E87)*(1+$Q$5))</f>
        <v>5576041.98448604</v>
      </c>
      <c r="G87" s="92" t="n">
        <f aca="false">F87-(E87+D87)</f>
        <v>315625.017989776</v>
      </c>
      <c r="H87" s="92" t="n">
        <f aca="false">IF(G87&gt;0,MIN((D87+E87)*$Q$8*0.7,G87),0)</f>
        <v>32035.9393259623</v>
      </c>
      <c r="I87" s="92" t="n">
        <f aca="false">F87*$Q$6</f>
        <v>100368.755720749</v>
      </c>
      <c r="J87" s="92" t="n">
        <f aca="false">IF(G87&gt;0,MAX(H87-I87,0),0)</f>
        <v>0</v>
      </c>
      <c r="K87" s="92" t="n">
        <f aca="false">K86+J87</f>
        <v>0</v>
      </c>
      <c r="L87" s="92" t="n">
        <f aca="false">IF(J87*$Q$9&gt;$Q$10,(J87*$Q$9-$Q$10)*$Q$7,0)</f>
        <v>0</v>
      </c>
      <c r="M87" s="92" t="n">
        <f aca="false">IF(J86*$Q$9&gt;$Q$10,(I87)*$Q$9*$Q$7,IF((J86+I87)*$Q$9&gt;$Q$10,((J86+I87)*$Q$9-$Q$10)*$Q$7,0))</f>
        <v>18319.3177749432</v>
      </c>
      <c r="N87" s="89" t="n">
        <f aca="false">I87-M87-L87</f>
        <v>82049.4379458055</v>
      </c>
    </row>
    <row r="88" customFormat="false" ht="15" hidden="false" customHeight="false" outlineLevel="0" collapsed="false">
      <c r="A88" s="91" t="n">
        <v>86</v>
      </c>
      <c r="B88" s="92" t="n">
        <f aca="false">IF(Übersicht!$C$13&gt;=A88,-Übersicht!$C$6,IF(A88=Übersicht!$C$13+1,Übersicht!$F$9,0))</f>
        <v>0</v>
      </c>
      <c r="C88" s="92" t="n">
        <f aca="false">C87+E88</f>
        <v>1696746.9667927</v>
      </c>
      <c r="D88" s="92" t="n">
        <f aca="false">F87-I87</f>
        <v>5475673.2287653</v>
      </c>
      <c r="E88" s="92" t="n">
        <f aca="false">$Q$4+N87</f>
        <v>84449.4379458055</v>
      </c>
      <c r="F88" s="92" t="n">
        <f aca="false">IF(ISNUMBER(Übersicht!K23),(D88+E88)*(1+Übersicht!K23),(D88+E88)*(1+$Q$5))</f>
        <v>5893730.02671377</v>
      </c>
      <c r="G88" s="92" t="n">
        <f aca="false">F88-(E88+D88)</f>
        <v>333607.360002667</v>
      </c>
      <c r="H88" s="92" t="n">
        <f aca="false">IF(G88&gt;0,MIN((D88+E88)*$Q$8*0.7,G88),0)</f>
        <v>33861.1470402706</v>
      </c>
      <c r="I88" s="92" t="n">
        <f aca="false">F88*$Q$6</f>
        <v>106087.140480848</v>
      </c>
      <c r="J88" s="92" t="n">
        <f aca="false">IF(G88&gt;0,MAX(H88-I88,0),0)</f>
        <v>0</v>
      </c>
      <c r="K88" s="92" t="n">
        <f aca="false">K87+J88</f>
        <v>0</v>
      </c>
      <c r="L88" s="92" t="n">
        <f aca="false">IF(J88*$Q$9&gt;$Q$10,(J88*$Q$9-$Q$10)*$Q$7,0)</f>
        <v>0</v>
      </c>
      <c r="M88" s="92" t="n">
        <f aca="false">IF(J87*$Q$9&gt;$Q$10,(I88)*$Q$9*$Q$7,IF((J87+I88)*$Q$9&gt;$Q$10,((J87+I88)*$Q$9-$Q$10)*$Q$7,0))</f>
        <v>19375.0745612765</v>
      </c>
      <c r="N88" s="89" t="n">
        <f aca="false">I88-M88-L88</f>
        <v>86712.0659195713</v>
      </c>
    </row>
    <row r="89" customFormat="false" ht="15" hidden="false" customHeight="false" outlineLevel="0" collapsed="false">
      <c r="A89" s="91" t="n">
        <v>87</v>
      </c>
      <c r="B89" s="92" t="n">
        <f aca="false">IF(Übersicht!$C$13&gt;=A89,-Übersicht!$C$6,IF(A89=Übersicht!$C$13+1,Übersicht!$F$9,0))</f>
        <v>0</v>
      </c>
      <c r="C89" s="92" t="n">
        <f aca="false">C88+E89</f>
        <v>1785859.03271227</v>
      </c>
      <c r="D89" s="92" t="n">
        <f aca="false">F88-I88</f>
        <v>5787642.88623292</v>
      </c>
      <c r="E89" s="92" t="n">
        <f aca="false">$Q$4+N88</f>
        <v>89112.0659195713</v>
      </c>
      <c r="F89" s="92" t="n">
        <f aca="false">IF(ISNUMBER(Übersicht!K24),(D89+E89)*(1+Übersicht!K24),(D89+E89)*(1+$Q$5))</f>
        <v>6229360.24928164</v>
      </c>
      <c r="G89" s="92" t="n">
        <f aca="false">F89-(E89+D89)</f>
        <v>352605.29712915</v>
      </c>
      <c r="H89" s="92" t="n">
        <f aca="false">IF(G89&gt;0,MIN((D89+E89)*$Q$8*0.7,G89),0)</f>
        <v>35789.4376586087</v>
      </c>
      <c r="I89" s="92" t="n">
        <f aca="false">F89*$Q$6</f>
        <v>112128.48448707</v>
      </c>
      <c r="J89" s="92" t="n">
        <f aca="false">IF(G89&gt;0,MAX(H89-I89,0),0)</f>
        <v>0</v>
      </c>
      <c r="K89" s="92" t="n">
        <f aca="false">K88+J89</f>
        <v>0</v>
      </c>
      <c r="L89" s="92" t="n">
        <f aca="false">IF(J89*$Q$9&gt;$Q$10,(J89*$Q$9-$Q$10)*$Q$7,0)</f>
        <v>0</v>
      </c>
      <c r="M89" s="92" t="n">
        <f aca="false">IF(J88*$Q$9&gt;$Q$10,(I89)*$Q$9*$Q$7,IF((J88+I89)*$Q$9&gt;$Q$10,((J88+I89)*$Q$9-$Q$10)*$Q$7,0))</f>
        <v>20490.4576984252</v>
      </c>
      <c r="N89" s="89" t="n">
        <f aca="false">I89-M89-L89</f>
        <v>91638.0267886443</v>
      </c>
    </row>
    <row r="90" customFormat="false" ht="15" hidden="false" customHeight="false" outlineLevel="0" collapsed="false">
      <c r="A90" s="91" t="n">
        <v>88</v>
      </c>
      <c r="B90" s="92" t="n">
        <f aca="false">IF(Übersicht!$C$13&gt;=A90,-Übersicht!$C$6,IF(A90=Übersicht!$C$13+1,Übersicht!$F$9,0))</f>
        <v>0</v>
      </c>
      <c r="C90" s="92" t="n">
        <f aca="false">C89+E90</f>
        <v>1879897.05950091</v>
      </c>
      <c r="D90" s="92" t="n">
        <f aca="false">F89-I89</f>
        <v>6117231.76479457</v>
      </c>
      <c r="E90" s="92" t="n">
        <f aca="false">$Q$4+N89</f>
        <v>94038.0267886443</v>
      </c>
      <c r="F90" s="92" t="n">
        <f aca="false">IF(ISNUMBER(Übersicht!K25),(D90+E90)*(1+Übersicht!K25),(D90+E90)*(1+$Q$5))</f>
        <v>6583945.97907821</v>
      </c>
      <c r="G90" s="92" t="n">
        <f aca="false">F90-(E90+D90)</f>
        <v>372676.187494993</v>
      </c>
      <c r="H90" s="92" t="n">
        <f aca="false">IF(G90&gt;0,MIN((D90+E90)*$Q$8*0.7,G90),0)</f>
        <v>37826.6330307418</v>
      </c>
      <c r="I90" s="92" t="n">
        <f aca="false">F90*$Q$6</f>
        <v>118511.027623408</v>
      </c>
      <c r="J90" s="92" t="n">
        <f aca="false">IF(G90&gt;0,MAX(H90-I90,0),0)</f>
        <v>0</v>
      </c>
      <c r="K90" s="92" t="n">
        <f aca="false">K89+J90</f>
        <v>0</v>
      </c>
      <c r="L90" s="92" t="n">
        <f aca="false">IF(J90*$Q$9&gt;$Q$10,(J90*$Q$9-$Q$10)*$Q$7,0)</f>
        <v>0</v>
      </c>
      <c r="M90" s="92" t="n">
        <f aca="false">IF(J89*$Q$9&gt;$Q$10,(I90)*$Q$9*$Q$7,IF((J89+I90)*$Q$9&gt;$Q$10,((J89+I90)*$Q$9-$Q$10)*$Q$7,0))</f>
        <v>21668.8347249716</v>
      </c>
      <c r="N90" s="89" t="n">
        <f aca="false">I90-M90-L90</f>
        <v>96842.1928984361</v>
      </c>
    </row>
    <row r="91" customFormat="false" ht="15" hidden="false" customHeight="false" outlineLevel="0" collapsed="false">
      <c r="A91" s="91" t="n">
        <v>89</v>
      </c>
      <c r="B91" s="92" t="n">
        <f aca="false">IF(Übersicht!$C$13&gt;=A91,-Übersicht!$C$6,IF(A91=Übersicht!$C$13+1,Übersicht!$F$9,0))</f>
        <v>0</v>
      </c>
      <c r="C91" s="92" t="n">
        <f aca="false">C90+E91</f>
        <v>1979139.25239935</v>
      </c>
      <c r="D91" s="92" t="n">
        <f aca="false">F90-I90</f>
        <v>6465434.9514548</v>
      </c>
      <c r="E91" s="92" t="n">
        <f aca="false">$Q$4+N90</f>
        <v>99242.1928984361</v>
      </c>
      <c r="F91" s="92" t="n">
        <f aca="false">IF(ISNUMBER(Übersicht!K26),(D91+E91)*(1+Übersicht!K26),(D91+E91)*(1+$Q$5))</f>
        <v>6958557.77301443</v>
      </c>
      <c r="G91" s="92" t="n">
        <f aca="false">F91-(E91+D91)</f>
        <v>393880.628661195</v>
      </c>
      <c r="H91" s="92" t="n">
        <f aca="false">IF(G91&gt;0,MIN((D91+E91)*$Q$8*0.7,G91),0)</f>
        <v>39978.8838091112</v>
      </c>
      <c r="I91" s="92" t="n">
        <f aca="false">F91*$Q$6</f>
        <v>125254.03991426</v>
      </c>
      <c r="J91" s="92" t="n">
        <f aca="false">IF(G91&gt;0,MAX(H91-I91,0),0)</f>
        <v>0</v>
      </c>
      <c r="K91" s="92" t="n">
        <f aca="false">K90+J91</f>
        <v>0</v>
      </c>
      <c r="L91" s="92" t="n">
        <f aca="false">IF(J91*$Q$9&gt;$Q$10,(J91*$Q$9-$Q$10)*$Q$7,0)</f>
        <v>0</v>
      </c>
      <c r="M91" s="92" t="n">
        <f aca="false">IF(J90*$Q$9&gt;$Q$10,(I91)*$Q$9*$Q$7,IF((J90+I91)*$Q$9&gt;$Q$10,((J90+I91)*$Q$9-$Q$10)*$Q$7,0))</f>
        <v>22913.7633691702</v>
      </c>
      <c r="N91" s="89" t="n">
        <f aca="false">I91-M91-L91</f>
        <v>102340.27654509</v>
      </c>
    </row>
    <row r="92" customFormat="false" ht="15" hidden="false" customHeight="false" outlineLevel="0" collapsed="false">
      <c r="A92" s="91" t="n">
        <v>90</v>
      </c>
      <c r="B92" s="92" t="n">
        <f aca="false">IF(Übersicht!$C$13&gt;=A92,-Übersicht!$C$6,IF(A92=Übersicht!$C$13+1,Übersicht!$F$9,0))</f>
        <v>0</v>
      </c>
      <c r="C92" s="92" t="n">
        <f aca="false">C91+E92</f>
        <v>2083879.52894444</v>
      </c>
      <c r="D92" s="92" t="n">
        <f aca="false">F91-I91</f>
        <v>6833303.73310017</v>
      </c>
      <c r="E92" s="92" t="n">
        <f aca="false">$Q$4+N91</f>
        <v>104740.27654509</v>
      </c>
      <c r="F92" s="92" t="n">
        <f aca="false">IF(ISNUMBER(Übersicht!K27),(D92+E92)*(1+Übersicht!K27),(D92+E92)*(1+$Q$5))</f>
        <v>7354326.65022398</v>
      </c>
      <c r="G92" s="92" t="n">
        <f aca="false">F92-(E92+D92)</f>
        <v>416282.640578716</v>
      </c>
      <c r="H92" s="92" t="n">
        <f aca="false">IF(G92&gt;0,MIN((D92+E92)*$Q$8*0.7,G92),0)</f>
        <v>42252.6880187396</v>
      </c>
      <c r="I92" s="92" t="n">
        <f aca="false">F92*$Q$6</f>
        <v>132377.879704032</v>
      </c>
      <c r="J92" s="92" t="n">
        <f aca="false">IF(G92&gt;0,MAX(H92-I92,0),0)</f>
        <v>0</v>
      </c>
      <c r="K92" s="92" t="n">
        <f aca="false">K91+J92</f>
        <v>0</v>
      </c>
      <c r="L92" s="92" t="n">
        <f aca="false">IF(J92*$Q$9&gt;$Q$10,(J92*$Q$9-$Q$10)*$Q$7,0)</f>
        <v>0</v>
      </c>
      <c r="M92" s="92" t="n">
        <f aca="false">IF(J91*$Q$9&gt;$Q$10,(I92)*$Q$9*$Q$7,IF((J91+I92)*$Q$9&gt;$Q$10,((J91+I92)*$Q$9-$Q$10)*$Q$7,0))</f>
        <v>24229.0022903568</v>
      </c>
      <c r="N92" s="89" t="n">
        <f aca="false">I92-M92-L92</f>
        <v>108148.877413675</v>
      </c>
    </row>
    <row r="93" customFormat="false" ht="15" hidden="false" customHeight="false" outlineLevel="0" collapsed="false">
      <c r="A93" s="91" t="n">
        <v>91</v>
      </c>
      <c r="B93" s="92" t="n">
        <f aca="false">IF(Übersicht!$C$13&gt;=A93,-Übersicht!$C$6,IF(A93=Übersicht!$C$13+1,Übersicht!$F$9,0))</f>
        <v>0</v>
      </c>
      <c r="C93" s="92" t="n">
        <f aca="false">C92+E93</f>
        <v>2194428.40635811</v>
      </c>
      <c r="D93" s="92" t="n">
        <f aca="false">F92-I92</f>
        <v>7221948.77051995</v>
      </c>
      <c r="E93" s="92" t="n">
        <f aca="false">$Q$4+N92</f>
        <v>110548.877413675</v>
      </c>
      <c r="F93" s="92" t="n">
        <f aca="false">IF(ISNUMBER(Übersicht!K28),(D93+E93)*(1+Übersicht!K28),(D93+E93)*(1+$Q$5))</f>
        <v>7772447.50680964</v>
      </c>
      <c r="G93" s="92" t="n">
        <f aca="false">F93-(E93+D93)</f>
        <v>439949.858876018</v>
      </c>
      <c r="H93" s="92" t="n">
        <f aca="false">IF(G93&gt;0,MIN((D93+E93)*$Q$8*0.7,G93),0)</f>
        <v>44654.9106759158</v>
      </c>
      <c r="I93" s="92" t="n">
        <f aca="false">F93*$Q$6</f>
        <v>139904.055122574</v>
      </c>
      <c r="J93" s="92" t="n">
        <f aca="false">IF(G93&gt;0,MAX(H93-I93,0),0)</f>
        <v>0</v>
      </c>
      <c r="K93" s="92" t="n">
        <f aca="false">K92+J93</f>
        <v>0</v>
      </c>
      <c r="L93" s="92" t="n">
        <f aca="false">IF(J93*$Q$9&gt;$Q$10,(J93*$Q$9-$Q$10)*$Q$7,0)</f>
        <v>0</v>
      </c>
      <c r="M93" s="92" t="n">
        <f aca="false">IF(J92*$Q$9&gt;$Q$10,(I93)*$Q$9*$Q$7,IF((J92+I93)*$Q$9&gt;$Q$10,((J92+I93)*$Q$9-$Q$10)*$Q$7,0))</f>
        <v>25618.5224270051</v>
      </c>
      <c r="N93" s="89" t="n">
        <f aca="false">I93-M93-L93</f>
        <v>114285.532695568</v>
      </c>
    </row>
    <row r="94" customFormat="false" ht="15" hidden="false" customHeight="false" outlineLevel="0" collapsed="false">
      <c r="A94" s="91" t="n">
        <v>92</v>
      </c>
      <c r="B94" s="92" t="n">
        <f aca="false">IF(Übersicht!$C$13&gt;=A94,-Übersicht!$C$6,IF(A94=Übersicht!$C$13+1,Übersicht!$F$9,0))</f>
        <v>0</v>
      </c>
      <c r="C94" s="92" t="n">
        <f aca="false">C93+E94</f>
        <v>2311113.93905368</v>
      </c>
      <c r="D94" s="92" t="n">
        <f aca="false">F93-I93</f>
        <v>7632543.45168707</v>
      </c>
      <c r="E94" s="92" t="n">
        <f aca="false">$Q$4+N93</f>
        <v>116685.532695568</v>
      </c>
      <c r="F94" s="92" t="n">
        <f aca="false">IF(ISNUMBER(Übersicht!K29),(D94+E94)*(1+Übersicht!K29),(D94+E94)*(1+$Q$5))</f>
        <v>8214182.72344559</v>
      </c>
      <c r="G94" s="92" t="n">
        <f aca="false">F94-(E94+D94)</f>
        <v>464953.739062958</v>
      </c>
      <c r="H94" s="92" t="n">
        <f aca="false">IF(G94&gt;0,MIN((D94+E94)*$Q$8*0.7,G94),0)</f>
        <v>47192.8045148902</v>
      </c>
      <c r="I94" s="92" t="n">
        <f aca="false">F94*$Q$6</f>
        <v>147855.289022021</v>
      </c>
      <c r="J94" s="92" t="n">
        <f aca="false">IF(G94&gt;0,MAX(H94-I94,0),0)</f>
        <v>0</v>
      </c>
      <c r="K94" s="92" t="n">
        <f aca="false">K93+J94</f>
        <v>0</v>
      </c>
      <c r="L94" s="92" t="n">
        <f aca="false">IF(J94*$Q$9&gt;$Q$10,(J94*$Q$9-$Q$10)*$Q$7,0)</f>
        <v>0</v>
      </c>
      <c r="M94" s="92" t="n">
        <f aca="false">IF(J93*$Q$9&gt;$Q$10,(I94)*$Q$9*$Q$7,IF((J93+I94)*$Q$9&gt;$Q$10,((J93+I94)*$Q$9-$Q$10)*$Q$7,0))</f>
        <v>27086.5189856906</v>
      </c>
      <c r="N94" s="89" t="n">
        <f aca="false">I94-M94-L94</f>
        <v>120768.77003633</v>
      </c>
    </row>
    <row r="95" customFormat="false" ht="15" hidden="false" customHeight="false" outlineLevel="0" collapsed="false">
      <c r="A95" s="91" t="n">
        <v>93</v>
      </c>
      <c r="B95" s="92" t="n">
        <f aca="false">IF(Übersicht!$C$13&gt;=A95,-Übersicht!$C$6,IF(A95=Übersicht!$C$13+1,Übersicht!$F$9,0))</f>
        <v>0</v>
      </c>
      <c r="C95" s="92" t="n">
        <f aca="false">C94+E95</f>
        <v>2434282.70909001</v>
      </c>
      <c r="D95" s="92" t="n">
        <f aca="false">F94-I94</f>
        <v>8066327.43442357</v>
      </c>
      <c r="E95" s="92" t="n">
        <f aca="false">$Q$4+N94</f>
        <v>123168.77003633</v>
      </c>
      <c r="F95" s="92" t="n">
        <f aca="false">IF(ISNUMBER(Übersicht!K30),(D95+E95)*(1+Übersicht!K30),(D95+E95)*(1+$Q$5))</f>
        <v>8680865.9767275</v>
      </c>
      <c r="G95" s="92" t="n">
        <f aca="false">F95-(E95+D95)</f>
        <v>491369.772267595</v>
      </c>
      <c r="H95" s="92" t="n">
        <f aca="false">IF(G95&gt;0,MIN((D95+E95)*$Q$8*0.7,G95),0)</f>
        <v>49874.0318851608</v>
      </c>
      <c r="I95" s="92" t="n">
        <f aca="false">F95*$Q$6</f>
        <v>156255.587581095</v>
      </c>
      <c r="J95" s="92" t="n">
        <f aca="false">IF(G95&gt;0,MAX(H95-I95,0),0)</f>
        <v>0</v>
      </c>
      <c r="K95" s="92" t="n">
        <f aca="false">K94+J95</f>
        <v>0</v>
      </c>
      <c r="L95" s="92" t="n">
        <f aca="false">IF(J95*$Q$9&gt;$Q$10,(J95*$Q$9-$Q$10)*$Q$7,0)</f>
        <v>0</v>
      </c>
      <c r="M95" s="92" t="n">
        <f aca="false">IF(J94*$Q$9&gt;$Q$10,(I95)*$Q$9*$Q$7,IF((J94+I95)*$Q$9&gt;$Q$10,((J94+I95)*$Q$9-$Q$10)*$Q$7,0))</f>
        <v>28637.4241071596</v>
      </c>
      <c r="N95" s="89" t="n">
        <f aca="false">I95-M95-L95</f>
        <v>127618.163473935</v>
      </c>
    </row>
    <row r="96" customFormat="false" ht="15" hidden="false" customHeight="false" outlineLevel="0" collapsed="false">
      <c r="A96" s="91" t="n">
        <v>94</v>
      </c>
      <c r="B96" s="92" t="n">
        <f aca="false">IF(Übersicht!$C$13&gt;=A96,-Übersicht!$C$6,IF(A96=Übersicht!$C$13+1,Übersicht!$F$9,0))</f>
        <v>0</v>
      </c>
      <c r="C96" s="92" t="n">
        <f aca="false">C95+E96</f>
        <v>2564300.87256395</v>
      </c>
      <c r="D96" s="92" t="n">
        <f aca="false">F95-I95</f>
        <v>8524610.3891464</v>
      </c>
      <c r="E96" s="92" t="n">
        <f aca="false">$Q$4+N95</f>
        <v>130018.163473935</v>
      </c>
      <c r="F96" s="92" t="n">
        <f aca="false">IF(ISNUMBER(Übersicht!K31),(D96+E96)*(1+Übersicht!K31),(D96+E96)*(1+$Q$5))</f>
        <v>9173906.26577756</v>
      </c>
      <c r="G96" s="92" t="n">
        <f aca="false">F96-(E96+D96)</f>
        <v>519277.713157222</v>
      </c>
      <c r="H96" s="92" t="n">
        <f aca="false">IF(G96&gt;0,MIN((D96+E96)*$Q$8*0.7,G96),0)</f>
        <v>52706.6878854579</v>
      </c>
      <c r="I96" s="92" t="n">
        <f aca="false">F96*$Q$6</f>
        <v>165130.312783996</v>
      </c>
      <c r="J96" s="92" t="n">
        <f aca="false">IF(G96&gt;0,MAX(H96-I96,0),0)</f>
        <v>0</v>
      </c>
      <c r="K96" s="92" t="n">
        <f aca="false">K95+J96</f>
        <v>0</v>
      </c>
      <c r="L96" s="92" t="n">
        <f aca="false">IF(J96*$Q$9&gt;$Q$10,(J96*$Q$9-$Q$10)*$Q$7,0)</f>
        <v>0</v>
      </c>
      <c r="M96" s="92" t="n">
        <f aca="false">IF(J95*$Q$9&gt;$Q$10,(I96)*$Q$9*$Q$7,IF((J95+I96)*$Q$9&gt;$Q$10,((J95+I96)*$Q$9-$Q$10)*$Q$7,0))</f>
        <v>30275.9202477453</v>
      </c>
      <c r="N96" s="89" t="n">
        <f aca="false">I96-M96-L96</f>
        <v>134854.392536251</v>
      </c>
    </row>
    <row r="97" customFormat="false" ht="15" hidden="false" customHeight="false" outlineLevel="0" collapsed="false">
      <c r="A97" s="91" t="n">
        <v>95</v>
      </c>
      <c r="B97" s="92" t="n">
        <f aca="false">IF(Übersicht!$C$13&gt;=A97,-Übersicht!$C$6,IF(A97=Übersicht!$C$13+1,Übersicht!$F$9,0))</f>
        <v>0</v>
      </c>
      <c r="C97" s="92" t="n">
        <f aca="false">C96+E97</f>
        <v>2701555.2651002</v>
      </c>
      <c r="D97" s="92" t="n">
        <f aca="false">F96-I96</f>
        <v>9008775.95299357</v>
      </c>
      <c r="E97" s="92" t="n">
        <f aca="false">$Q$4+N96</f>
        <v>137254.392536251</v>
      </c>
      <c r="F97" s="92" t="n">
        <f aca="false">IF(ISNUMBER(Übersicht!K32),(D97+E97)*(1+Übersicht!K32),(D97+E97)*(1+$Q$5))</f>
        <v>9694792.1662616</v>
      </c>
      <c r="G97" s="92" t="n">
        <f aca="false">F97-(E97+D97)</f>
        <v>548761.820731789</v>
      </c>
      <c r="H97" s="92" t="n">
        <f aca="false">IF(G97&gt;0,MIN((D97+E97)*$Q$8*0.7,G97),0)</f>
        <v>55699.3248042766</v>
      </c>
      <c r="I97" s="92" t="n">
        <f aca="false">F97*$Q$6</f>
        <v>174506.258992709</v>
      </c>
      <c r="J97" s="92" t="n">
        <f aca="false">IF(G97&gt;0,MAX(H97-I97,0),0)</f>
        <v>0</v>
      </c>
      <c r="K97" s="92" t="n">
        <f aca="false">K96+J97</f>
        <v>0</v>
      </c>
      <c r="L97" s="92" t="n">
        <f aca="false">IF(J97*$Q$9&gt;$Q$10,(J97*$Q$9-$Q$10)*$Q$7,0)</f>
        <v>0</v>
      </c>
      <c r="M97" s="92" t="n">
        <f aca="false">IF(J96*$Q$9&gt;$Q$10,(I97)*$Q$9*$Q$7,IF((J96+I97)*$Q$9&gt;$Q$10,((J96+I97)*$Q$9-$Q$10)*$Q$7,0))</f>
        <v>32006.9543165289</v>
      </c>
      <c r="N97" s="89" t="n">
        <f aca="false">I97-M97-L97</f>
        <v>142499.30467618</v>
      </c>
    </row>
    <row r="98" customFormat="false" ht="15" hidden="false" customHeight="false" outlineLevel="0" collapsed="false">
      <c r="A98" s="91" t="n">
        <v>96</v>
      </c>
      <c r="B98" s="92" t="n">
        <f aca="false">IF(Übersicht!$C$13&gt;=A98,-Übersicht!$C$6,IF(A98=Übersicht!$C$13+1,Übersicht!$F$9,0))</f>
        <v>0</v>
      </c>
      <c r="C98" s="92" t="n">
        <f aca="false">C97+E98</f>
        <v>2846454.56977638</v>
      </c>
      <c r="D98" s="92" t="n">
        <f aca="false">F97-I97</f>
        <v>9520285.90726889</v>
      </c>
      <c r="E98" s="92" t="n">
        <f aca="false">$Q$4+N97</f>
        <v>144899.30467618</v>
      </c>
      <c r="F98" s="92" t="n">
        <f aca="false">IF(ISNUMBER(Übersicht!K33),(D98+E98)*(1+Übersicht!K33),(D98+E98)*(1+$Q$5))</f>
        <v>10245096.3246618</v>
      </c>
      <c r="G98" s="92" t="n">
        <f aca="false">F98-(E98+D98)</f>
        <v>579911.112716705</v>
      </c>
      <c r="H98" s="92" t="n">
        <f aca="false">IF(G98&gt;0,MIN((D98+E98)*$Q$8*0.7,G98),0)</f>
        <v>58860.9779407455</v>
      </c>
      <c r="I98" s="92" t="n">
        <f aca="false">F98*$Q$6</f>
        <v>184411.733843912</v>
      </c>
      <c r="J98" s="92" t="n">
        <f aca="false">IF(G98&gt;0,MAX(H98-I98,0),0)</f>
        <v>0</v>
      </c>
      <c r="K98" s="92" t="n">
        <f aca="false">K97+J98</f>
        <v>0</v>
      </c>
      <c r="L98" s="92" t="n">
        <f aca="false">IF(J98*$Q$9&gt;$Q$10,(J98*$Q$9-$Q$10)*$Q$7,0)</f>
        <v>0</v>
      </c>
      <c r="M98" s="92" t="n">
        <f aca="false">IF(J97*$Q$9&gt;$Q$10,(I98)*$Q$9*$Q$7,IF((J97+I98)*$Q$9&gt;$Q$10,((J97+I98)*$Q$9-$Q$10)*$Q$7,0))</f>
        <v>33835.7526109323</v>
      </c>
      <c r="N98" s="89" t="n">
        <f aca="false">I98-M98-L98</f>
        <v>150575.98123298</v>
      </c>
    </row>
    <row r="99" customFormat="false" ht="15" hidden="false" customHeight="false" outlineLevel="0" collapsed="false">
      <c r="A99" s="91" t="n">
        <v>97</v>
      </c>
      <c r="B99" s="92" t="n">
        <f aca="false">IF(Übersicht!$C$13&gt;=A99,-Übersicht!$C$6,IF(A99=Übersicht!$C$13+1,Übersicht!$F$9,0))</f>
        <v>0</v>
      </c>
      <c r="C99" s="92" t="n">
        <f aca="false">C98+E99</f>
        <v>2999430.55100936</v>
      </c>
      <c r="D99" s="92" t="n">
        <f aca="false">F98-I98</f>
        <v>10060684.5908179</v>
      </c>
      <c r="E99" s="92" t="n">
        <f aca="false">$Q$4+N98</f>
        <v>152975.98123298</v>
      </c>
      <c r="F99" s="92" t="n">
        <f aca="false">IF(ISNUMBER(Übersicht!K34),(D99+E99)*(1+Übersicht!K34),(D99+E99)*(1+$Q$5))</f>
        <v>10826480.2063739</v>
      </c>
      <c r="G99" s="92" t="n">
        <f aca="false">F99-(E99+D99)</f>
        <v>612819.634323051</v>
      </c>
      <c r="H99" s="92" t="n">
        <f aca="false">IF(G99&gt;0,MIN((D99+E99)*$Q$8*0.7,G99),0)</f>
        <v>62201.1928837897</v>
      </c>
      <c r="I99" s="92" t="n">
        <f aca="false">F99*$Q$6</f>
        <v>194876.64371473</v>
      </c>
      <c r="J99" s="92" t="n">
        <f aca="false">IF(G99&gt;0,MAX(H99-I99,0),0)</f>
        <v>0</v>
      </c>
      <c r="K99" s="92" t="n">
        <f aca="false">K98+J99</f>
        <v>0</v>
      </c>
      <c r="L99" s="92" t="n">
        <f aca="false">IF(J99*$Q$9&gt;$Q$10,(J99*$Q$9-$Q$10)*$Q$7,0)</f>
        <v>0</v>
      </c>
      <c r="M99" s="92" t="n">
        <f aca="false">IF(J98*$Q$9&gt;$Q$10,(I99)*$Q$9*$Q$7,IF((J98+I99)*$Q$9&gt;$Q$10,((J98+I99)*$Q$9-$Q$10)*$Q$7,0))</f>
        <v>35767.8365958321</v>
      </c>
      <c r="N99" s="89" t="n">
        <f aca="false">I99-M99-L99</f>
        <v>159108.807118898</v>
      </c>
    </row>
    <row r="100" customFormat="false" ht="15" hidden="false" customHeight="false" outlineLevel="0" collapsed="false">
      <c r="A100" s="91" t="n">
        <v>98</v>
      </c>
      <c r="B100" s="92" t="n">
        <f aca="false">IF(Übersicht!$C$13&gt;=A100,-Übersicht!$C$6,IF(A100=Übersicht!$C$13+1,Übersicht!$F$9,0))</f>
        <v>0</v>
      </c>
      <c r="C100" s="92" t="n">
        <f aca="false">C99+E100</f>
        <v>3160939.35812825</v>
      </c>
      <c r="D100" s="92" t="n">
        <f aca="false">F99-I99</f>
        <v>10631603.5626592</v>
      </c>
      <c r="E100" s="92" t="n">
        <f aca="false">$Q$4+N99</f>
        <v>161508.807118898</v>
      </c>
      <c r="F100" s="92" t="n">
        <f aca="false">IF(ISNUMBER(Übersicht!K35),(D100+E100)*(1+Übersicht!K35),(D100+E100)*(1+$Q$5))</f>
        <v>11440699.1119648</v>
      </c>
      <c r="G100" s="92" t="n">
        <f aca="false">F100-(E100+D100)</f>
        <v>647586.742186684</v>
      </c>
      <c r="H100" s="92" t="n">
        <f aca="false">IF(G100&gt;0,MIN((D100+E100)*$Q$8*0.7,G100),0)</f>
        <v>65730.0543319484</v>
      </c>
      <c r="I100" s="92" t="n">
        <f aca="false">F100*$Q$6</f>
        <v>205932.584015366</v>
      </c>
      <c r="J100" s="92" t="n">
        <f aca="false">IF(G100&gt;0,MAX(H100-I100,0),0)</f>
        <v>0</v>
      </c>
      <c r="K100" s="92" t="n">
        <f aca="false">K99+J100</f>
        <v>0</v>
      </c>
      <c r="L100" s="92" t="n">
        <f aca="false">IF(J100*$Q$9&gt;$Q$10,(J100*$Q$9-$Q$10)*$Q$7,0)</f>
        <v>0</v>
      </c>
      <c r="M100" s="92" t="n">
        <f aca="false">IF(J99*$Q$9&gt;$Q$10,(I100)*$Q$9*$Q$7,IF((J99+I100)*$Q$9&gt;$Q$10,((J99+I100)*$Q$9-$Q$10)*$Q$7,0))</f>
        <v>37809.0395738369</v>
      </c>
      <c r="N100" s="89" t="n">
        <f aca="false">I100-M100-L100</f>
        <v>168123.544441529</v>
      </c>
    </row>
    <row r="101" customFormat="false" ht="15" hidden="false" customHeight="false" outlineLevel="0" collapsed="false">
      <c r="A101" s="91" t="n">
        <v>99</v>
      </c>
      <c r="B101" s="92" t="n">
        <f aca="false">IF(Übersicht!$C$13&gt;=A101,-Übersicht!$C$6,IF(A101=Übersicht!$C$13+1,Übersicht!$F$9,0))</f>
        <v>0</v>
      </c>
      <c r="C101" s="92" t="n">
        <f aca="false">C100+E101</f>
        <v>3331462.90256978</v>
      </c>
      <c r="D101" s="92" t="n">
        <f aca="false">F100-I100</f>
        <v>11234766.5279494</v>
      </c>
      <c r="E101" s="92" t="n">
        <f aca="false">$Q$4+N100</f>
        <v>170523.544441529</v>
      </c>
      <c r="F101" s="92" t="n">
        <f aca="false">IF(ISNUMBER(Übersicht!K36),(D101+E101)*(1+Übersicht!K36),(D101+E101)*(1+$Q$5))</f>
        <v>12089607.4767344</v>
      </c>
      <c r="G101" s="92" t="n">
        <f aca="false">F101-(E101+D101)</f>
        <v>684317.404343456</v>
      </c>
      <c r="H101" s="92" t="n">
        <f aca="false">IF(G101&gt;0,MIN((D101+E101)*$Q$8*0.7,G101),0)</f>
        <v>69458.2165408607</v>
      </c>
      <c r="I101" s="92" t="n">
        <f aca="false">F101*$Q$6</f>
        <v>217612.934581219</v>
      </c>
      <c r="J101" s="92" t="n">
        <f aca="false">IF(G101&gt;0,MAX(H101-I101,0),0)</f>
        <v>0</v>
      </c>
      <c r="K101" s="92" t="n">
        <f aca="false">K100+J101</f>
        <v>0</v>
      </c>
      <c r="L101" s="92" t="n">
        <f aca="false">IF(J101*$Q$9&gt;$Q$10,(J101*$Q$9-$Q$10)*$Q$7,0)</f>
        <v>0</v>
      </c>
      <c r="M101" s="92" t="n">
        <f aca="false">IF(J100*$Q$9&gt;$Q$10,(I101)*$Q$9*$Q$7,IF((J100+I101)*$Q$9&gt;$Q$10,((J100+I101)*$Q$9-$Q$10)*$Q$7,0))</f>
        <v>39965.5242970575</v>
      </c>
      <c r="N101" s="89" t="n">
        <f aca="false">I101-M101-L101</f>
        <v>177647.410284161</v>
      </c>
    </row>
    <row r="102" customFormat="false" ht="15.75" hidden="false" customHeight="false" outlineLevel="0" collapsed="false">
      <c r="A102" s="101" t="n">
        <v>100</v>
      </c>
      <c r="B102" s="102" t="n">
        <f aca="false">IF(Übersicht!$C$13&gt;=A102,-Übersicht!$C$6,IF(A102=Übersicht!$C$13+1,Übersicht!$F$9,0))</f>
        <v>0</v>
      </c>
      <c r="C102" s="102" t="n">
        <f aca="false">C101+E102</f>
        <v>3511510.31285394</v>
      </c>
      <c r="D102" s="102" t="n">
        <f aca="false">F101-I101</f>
        <v>11871994.5421532</v>
      </c>
      <c r="E102" s="102" t="n">
        <f aca="false">$Q$4+N101</f>
        <v>180047.410284161</v>
      </c>
      <c r="F102" s="102" t="n">
        <f aca="false">IF(ISNUMBER(Übersicht!K37),(D102+E102)*(1+Übersicht!K37),(D102+E102)*(1+$Q$5))</f>
        <v>12775164.4695836</v>
      </c>
      <c r="G102" s="102" t="n">
        <f aca="false">F102-(E102+D102)</f>
        <v>723122.517146239</v>
      </c>
      <c r="H102" s="102" t="n">
        <f aca="false">IF(G102&gt;0,MIN((D102+E102)*$Q$8*0.7,G102),0)</f>
        <v>73396.9354903432</v>
      </c>
      <c r="I102" s="102" t="n">
        <f aca="false">F102*$Q$6</f>
        <v>229952.960452504</v>
      </c>
      <c r="J102" s="102" t="n">
        <f aca="false">IF(G102&gt;0,MAX(H102-I102,0),0)</f>
        <v>0</v>
      </c>
      <c r="K102" s="102" t="n">
        <f aca="false">K101+J102</f>
        <v>0</v>
      </c>
      <c r="L102" s="102" t="n">
        <f aca="false">IF(J102*$Q$9&gt;$Q$10,(J102*$Q$9-$Q$10)*$Q$7,0)</f>
        <v>0</v>
      </c>
      <c r="M102" s="103" t="n">
        <f aca="false">IF(J101*$Q$9&gt;$Q$10,(I102)*$Q$9*$Q$7,IF((J101+I102)*$Q$9&gt;$Q$10,((J101+I102)*$Q$9-$Q$10)*$Q$7,0))</f>
        <v>42243.8015735435</v>
      </c>
      <c r="N102" s="103" t="n">
        <f aca="false">I102-M102-L102</f>
        <v>187709.15887896</v>
      </c>
    </row>
    <row r="103" customFormat="false" ht="15" hidden="false" customHeight="false" outlineLevel="0" collapsed="false">
      <c r="A103" s="104" t="n">
        <v>101</v>
      </c>
    </row>
    <row r="104" customFormat="false" ht="15" hidden="false" customHeight="false" outlineLevel="0" collapsed="false">
      <c r="C104" s="105"/>
    </row>
  </sheetData>
  <conditionalFormatting sqref="E3:E102">
    <cfRule type="cellIs" priority="2" operator="lessThan" aboveAverage="0" equalAverage="0" bottom="0" percent="0" rank="0" text="" dxfId="16">
      <formula>0</formula>
    </cfRule>
  </conditionalFormatting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2"/>
  <sheetViews>
    <sheetView showFormulas="false" showGridLines="true" showRowColHeaders="fals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P3" activeCellId="0" sqref="P3"/>
    </sheetView>
  </sheetViews>
  <sheetFormatPr defaultColWidth="10.4609375" defaultRowHeight="15" zeroHeight="false" outlineLevelRow="0" outlineLevelCol="0"/>
  <cols>
    <col collapsed="false" customWidth="true" hidden="false" outlineLevel="0" max="1" min="1" style="0" width="7.29"/>
    <col collapsed="false" customWidth="true" hidden="true" outlineLevel="0" max="2" min="2" style="0" width="10.85"/>
    <col collapsed="false" customWidth="true" hidden="false" outlineLevel="0" max="3" min="3" style="0" width="11.14"/>
    <col collapsed="false" customWidth="true" hidden="false" outlineLevel="0" max="4" min="4" style="0" width="18.71"/>
    <col collapsed="false" customWidth="true" hidden="false" outlineLevel="0" max="5" min="5" style="0" width="14.43"/>
    <col collapsed="false" customWidth="true" hidden="false" outlineLevel="0" max="6" min="6" style="0" width="20.86"/>
    <col collapsed="false" customWidth="true" hidden="false" outlineLevel="0" max="7" min="7" style="0" width="16.42"/>
    <col collapsed="false" customWidth="true" hidden="false" outlineLevel="0" max="8" min="8" style="0" width="11.14"/>
    <col collapsed="false" customWidth="true" hidden="false" outlineLevel="0" max="9" min="9" style="0" width="17.29"/>
    <col collapsed="false" customWidth="true" hidden="false" outlineLevel="0" max="10" min="10" style="0" width="10.14"/>
    <col collapsed="false" customWidth="true" hidden="false" outlineLevel="0" max="11" min="11" style="0" width="16.14"/>
    <col collapsed="false" customWidth="true" hidden="false" outlineLevel="0" max="13" min="13" style="0" width="24.42"/>
    <col collapsed="false" customWidth="true" hidden="false" outlineLevel="0" max="15" min="15" style="0" width="27.99"/>
  </cols>
  <sheetData>
    <row r="1" customFormat="false" ht="15.75" hidden="false" customHeight="false" outlineLevel="0" collapsed="false"/>
    <row r="2" customFormat="false" ht="30.75" hidden="false" customHeight="false" outlineLevel="0" collapsed="false">
      <c r="A2" s="86" t="s">
        <v>21</v>
      </c>
      <c r="B2" s="86"/>
      <c r="C2" s="85" t="s">
        <v>35</v>
      </c>
      <c r="D2" s="85" t="s">
        <v>24</v>
      </c>
      <c r="E2" s="85" t="s">
        <v>25</v>
      </c>
      <c r="F2" s="85" t="s">
        <v>36</v>
      </c>
      <c r="G2" s="85" t="s">
        <v>27</v>
      </c>
      <c r="H2" s="85" t="s">
        <v>37</v>
      </c>
      <c r="I2" s="85" t="s">
        <v>30</v>
      </c>
      <c r="J2" s="86" t="s">
        <v>38</v>
      </c>
      <c r="K2" s="86" t="s">
        <v>39</v>
      </c>
    </row>
    <row r="3" customFormat="false" ht="15" hidden="false" customHeight="false" outlineLevel="0" collapsed="false">
      <c r="A3" s="106" t="n">
        <v>1</v>
      </c>
      <c r="B3" s="107" t="n">
        <f aca="false">IF(Übersicht!$C$13&gt;=A3,-Übersicht!$C$5-Übersicht!$C$6,IF(A3=Übersicht!$C$13+1,Übersicht!$G$9,0))</f>
        <v>-7400</v>
      </c>
      <c r="C3" s="88" t="n">
        <f aca="false">E3+D3</f>
        <v>7400</v>
      </c>
      <c r="D3" s="88" t="n">
        <f aca="false">P3</f>
        <v>5000</v>
      </c>
      <c r="E3" s="88" t="n">
        <f aca="false">$P$4</f>
        <v>2400</v>
      </c>
      <c r="F3" s="88" t="n">
        <f aca="false">IF(ISNUMBER(Übersicht!C18),(D3+E3)*(1+Übersicht!C18),(D3+E3)*(1+$P$5))</f>
        <v>7844</v>
      </c>
      <c r="G3" s="88" t="n">
        <f aca="false">F3-(E3+D3)</f>
        <v>444</v>
      </c>
      <c r="H3" s="88" t="n">
        <f aca="false">IF(G3&gt;0,(D3+E3)*$P$8*0.7,0)</f>
        <v>45.066</v>
      </c>
      <c r="I3" s="88" t="n">
        <f aca="false">IF(G3&gt;0,MIN(G3,H3),0)</f>
        <v>45.066</v>
      </c>
      <c r="J3" s="88" t="n">
        <f aca="false">IF(I3*$P$9&gt;$P$10,(I3*$P$9-$P$10)*$P$7,0)</f>
        <v>0</v>
      </c>
      <c r="K3" s="108" t="n">
        <f aca="false">I3</f>
        <v>45.066</v>
      </c>
      <c r="O3" s="7" t="s">
        <v>2</v>
      </c>
      <c r="P3" s="109" t="n">
        <f aca="false">Übersicht!C5</f>
        <v>5000</v>
      </c>
    </row>
    <row r="4" customFormat="false" ht="15" hidden="false" customHeight="false" outlineLevel="0" collapsed="false">
      <c r="A4" s="110" t="n">
        <v>2</v>
      </c>
      <c r="B4" s="111" t="n">
        <f aca="false">IF(Übersicht!$C$13&gt;=A4,-Übersicht!$C$6,IF(A4=Übersicht!$C$13+1,Übersicht!$G$9,0))</f>
        <v>-2400</v>
      </c>
      <c r="C4" s="92" t="n">
        <f aca="false">C3+E4</f>
        <v>9800</v>
      </c>
      <c r="D4" s="92" t="n">
        <f aca="false">F3</f>
        <v>7844</v>
      </c>
      <c r="E4" s="92" t="n">
        <f aca="false">$P$4-J3</f>
        <v>2400</v>
      </c>
      <c r="F4" s="92" t="n">
        <f aca="false">IF(ISNUMBER(Übersicht!C19),(D4+E4)*(1+Übersicht!C19),(D4+E4)*(1+$P$5))</f>
        <v>10858.64</v>
      </c>
      <c r="G4" s="92" t="n">
        <f aca="false">F4-(E4+D4)</f>
        <v>614.640000000001</v>
      </c>
      <c r="H4" s="92" t="n">
        <f aca="false">IF(G4&gt;0,(D4+E4)*$P$8*0.7,0)</f>
        <v>62.38596</v>
      </c>
      <c r="I4" s="92" t="n">
        <f aca="false">IF(G4&gt;0,MIN(G4,H4),0)</f>
        <v>62.38596</v>
      </c>
      <c r="J4" s="92" t="n">
        <f aca="false">IF(I4*$P$9&gt;$P$10,(I4*$P$9-$P$10)*$P$7,0)</f>
        <v>0</v>
      </c>
      <c r="K4" s="112" t="n">
        <f aca="false">K3+I4</f>
        <v>107.45196</v>
      </c>
      <c r="O4" s="14" t="s">
        <v>7</v>
      </c>
      <c r="P4" s="113" t="n">
        <f aca="false">Übersicht!C6</f>
        <v>2400</v>
      </c>
    </row>
    <row r="5" customFormat="false" ht="15" hidden="false" customHeight="false" outlineLevel="0" collapsed="false">
      <c r="A5" s="110" t="n">
        <v>3</v>
      </c>
      <c r="B5" s="111" t="n">
        <f aca="false">IF(Übersicht!$C$13&gt;=A5,-Übersicht!$C$6,IF(A5=Übersicht!$C$13+1,Übersicht!$G$9,0))</f>
        <v>-2400</v>
      </c>
      <c r="C5" s="92" t="n">
        <f aca="false">C4+E5</f>
        <v>12200</v>
      </c>
      <c r="D5" s="92" t="n">
        <f aca="false">F4</f>
        <v>10858.64</v>
      </c>
      <c r="E5" s="92" t="n">
        <f aca="false">$P$4-J4</f>
        <v>2400</v>
      </c>
      <c r="F5" s="92" t="n">
        <f aca="false">IF(ISNUMBER(Übersicht!C20),(D5+E5)*(1+Übersicht!C20),(D5+E5)*(1+$P$5))</f>
        <v>14054.1584</v>
      </c>
      <c r="G5" s="92" t="n">
        <f aca="false">F5-(E5+D5)</f>
        <v>795.518400000001</v>
      </c>
      <c r="H5" s="92" t="n">
        <f aca="false">IF(G5&gt;0,(D5+E5)*$P$8*0.7,0)</f>
        <v>80.7451176</v>
      </c>
      <c r="I5" s="92" t="n">
        <f aca="false">IF(G5&gt;0,MIN(G5,H5),0)</f>
        <v>80.7451176</v>
      </c>
      <c r="J5" s="92" t="n">
        <f aca="false">IF(I5*$P$9&gt;$P$10,(I5*$P$9-$P$10)*$P$7,0)</f>
        <v>0</v>
      </c>
      <c r="K5" s="112" t="n">
        <f aca="false">K4+I5</f>
        <v>188.1970776</v>
      </c>
      <c r="O5" s="14" t="s">
        <v>9</v>
      </c>
      <c r="P5" s="94" t="n">
        <f aca="false">Übersicht!C7</f>
        <v>0.06</v>
      </c>
    </row>
    <row r="6" customFormat="false" ht="15" hidden="false" customHeight="false" outlineLevel="0" collapsed="false">
      <c r="A6" s="110" t="n">
        <v>4</v>
      </c>
      <c r="B6" s="111" t="n">
        <f aca="false">IF(Übersicht!$C$13&gt;=A6,-Übersicht!$C$6,IF(A6=Übersicht!$C$13+1,Übersicht!$G$9,0))</f>
        <v>-2400</v>
      </c>
      <c r="C6" s="92" t="n">
        <f aca="false">C5+E6</f>
        <v>14600</v>
      </c>
      <c r="D6" s="92" t="n">
        <f aca="false">F5</f>
        <v>14054.1584</v>
      </c>
      <c r="E6" s="92" t="n">
        <f aca="false">$P$4-J5</f>
        <v>2400</v>
      </c>
      <c r="F6" s="92" t="n">
        <f aca="false">IF(ISNUMBER(Übersicht!C21),(D6+E6)*(1+Übersicht!C21),(D6+E6)*(1+$P$5))</f>
        <v>17441.407904</v>
      </c>
      <c r="G6" s="92" t="n">
        <f aca="false">F6-(E6+D6)</f>
        <v>987.249504</v>
      </c>
      <c r="H6" s="92" t="n">
        <f aca="false">IF(G6&gt;0,(D6+E6)*$P$8*0.7,0)</f>
        <v>100.205824656</v>
      </c>
      <c r="I6" s="92" t="n">
        <f aca="false">IF(G6&gt;0,MIN(G6,H6),0)</f>
        <v>100.205824656</v>
      </c>
      <c r="J6" s="92" t="n">
        <f aca="false">IF(I6*$P$9&gt;$P$10,(I6*$P$9-$P$10)*$P$7,0)</f>
        <v>0</v>
      </c>
      <c r="K6" s="112" t="n">
        <f aca="false">K5+I6</f>
        <v>288.402902256</v>
      </c>
      <c r="O6" s="14" t="s">
        <v>11</v>
      </c>
      <c r="P6" s="94" t="n">
        <f aca="false">Übersicht!C8</f>
        <v>0.018</v>
      </c>
    </row>
    <row r="7" customFormat="false" ht="15" hidden="false" customHeight="false" outlineLevel="0" collapsed="false">
      <c r="A7" s="110" t="n">
        <v>5</v>
      </c>
      <c r="B7" s="111" t="n">
        <f aca="false">IF(Übersicht!$C$13&gt;=A7,-Übersicht!$C$6,IF(A7=Übersicht!$C$13+1,Übersicht!$G$9,0))</f>
        <v>-2400</v>
      </c>
      <c r="C7" s="92" t="n">
        <f aca="false">C6+E7</f>
        <v>17000</v>
      </c>
      <c r="D7" s="92" t="n">
        <f aca="false">F6</f>
        <v>17441.407904</v>
      </c>
      <c r="E7" s="92" t="n">
        <f aca="false">$P$4-J6</f>
        <v>2400</v>
      </c>
      <c r="F7" s="92" t="n">
        <f aca="false">IF(ISNUMBER(Übersicht!C22),(D7+E7)*(1+Übersicht!C22),(D7+E7)*(1+$P$5))</f>
        <v>21031.89237824</v>
      </c>
      <c r="G7" s="92" t="n">
        <f aca="false">F7-(E7+D7)</f>
        <v>1190.48447424</v>
      </c>
      <c r="H7" s="92" t="n">
        <f aca="false">IF(G7&gt;0,(D7+E7)*$P$8*0.7,0)</f>
        <v>120.83417413536</v>
      </c>
      <c r="I7" s="92" t="n">
        <f aca="false">IF(G7&gt;0,MIN(G7,H7),0)</f>
        <v>120.83417413536</v>
      </c>
      <c r="J7" s="92" t="n">
        <f aca="false">IF(I7*$P$9&gt;$P$10,(I7*$P$9-$P$10)*$P$7,0)</f>
        <v>0</v>
      </c>
      <c r="K7" s="112" t="n">
        <f aca="false">K6+I7</f>
        <v>409.23707639136</v>
      </c>
      <c r="O7" s="14" t="s">
        <v>13</v>
      </c>
      <c r="P7" s="95" t="n">
        <f aca="false">Übersicht!C9</f>
        <v>0.26375</v>
      </c>
    </row>
    <row r="8" customFormat="false" ht="15" hidden="false" customHeight="false" outlineLevel="0" collapsed="false">
      <c r="A8" s="110" t="n">
        <v>6</v>
      </c>
      <c r="B8" s="111" t="n">
        <f aca="false">IF(Übersicht!$C$13&gt;=A8,-Übersicht!$C$6,IF(A8=Übersicht!$C$13+1,Übersicht!$G$9,0))</f>
        <v>-2400</v>
      </c>
      <c r="C8" s="92" t="n">
        <f aca="false">C7+E8</f>
        <v>19400</v>
      </c>
      <c r="D8" s="92" t="n">
        <f aca="false">F7</f>
        <v>21031.89237824</v>
      </c>
      <c r="E8" s="92" t="n">
        <f aca="false">$P$4-J7</f>
        <v>2400</v>
      </c>
      <c r="F8" s="92" t="n">
        <f aca="false">IF(ISNUMBER(Übersicht!C23),(D8+E8)*(1+Übersicht!C23),(D8+E8)*(1+$P$5))</f>
        <v>24837.8059209344</v>
      </c>
      <c r="G8" s="92" t="n">
        <f aca="false">F8-(E8+D8)</f>
        <v>1405.9135426944</v>
      </c>
      <c r="H8" s="92" t="n">
        <f aca="false">IF(G8&gt;0,(D8+E8)*$P$8*0.7,0)</f>
        <v>142.700224583482</v>
      </c>
      <c r="I8" s="92" t="n">
        <f aca="false">IF(G8&gt;0,MIN(G8,H8),0)</f>
        <v>142.700224583482</v>
      </c>
      <c r="J8" s="92" t="n">
        <f aca="false">IF(I8*$P$9&gt;$P$10,(I8*$P$9-$P$10)*$P$7,0)</f>
        <v>0</v>
      </c>
      <c r="K8" s="112" t="n">
        <f aca="false">K7+I8</f>
        <v>551.937300974842</v>
      </c>
      <c r="O8" s="14" t="s">
        <v>15</v>
      </c>
      <c r="P8" s="95" t="n">
        <f aca="false">Übersicht!C10</f>
        <v>0.0087</v>
      </c>
    </row>
    <row r="9" customFormat="false" ht="15" hidden="false" customHeight="false" outlineLevel="0" collapsed="false">
      <c r="A9" s="110" t="n">
        <v>7</v>
      </c>
      <c r="B9" s="111" t="n">
        <f aca="false">IF(Übersicht!$C$13&gt;=A9,-Übersicht!$C$6,IF(A9=Übersicht!$C$13+1,Übersicht!$G$9,0))</f>
        <v>-2400</v>
      </c>
      <c r="C9" s="92" t="n">
        <f aca="false">C8+E9</f>
        <v>21800</v>
      </c>
      <c r="D9" s="92" t="n">
        <f aca="false">F8</f>
        <v>24837.8059209344</v>
      </c>
      <c r="E9" s="92" t="n">
        <f aca="false">$P$4-J8</f>
        <v>2400</v>
      </c>
      <c r="F9" s="92" t="n">
        <f aca="false">IF(ISNUMBER(Übersicht!C24),(D9+E9)*(1+Übersicht!C24),(D9+E9)*(1+$P$5))</f>
        <v>28872.0742761905</v>
      </c>
      <c r="G9" s="92" t="n">
        <f aca="false">F9-(E9+D9)</f>
        <v>1634.26835525607</v>
      </c>
      <c r="H9" s="92" t="n">
        <f aca="false">IF(G9&gt;0,(D9+E9)*$P$8*0.7,0)</f>
        <v>165.87823805849</v>
      </c>
      <c r="I9" s="92" t="n">
        <f aca="false">IF(G9&gt;0,MIN(G9,H9),0)</f>
        <v>165.87823805849</v>
      </c>
      <c r="J9" s="92" t="n">
        <f aca="false">IF(I9*$P$9&gt;$P$10,(I9*$P$9-$P$10)*$P$7,0)</f>
        <v>0</v>
      </c>
      <c r="K9" s="112" t="n">
        <f aca="false">K8+I9</f>
        <v>717.815539033332</v>
      </c>
      <c r="O9" s="37" t="s">
        <v>17</v>
      </c>
      <c r="P9" s="114" t="n">
        <f aca="false">Übersicht!C11</f>
        <v>0.7</v>
      </c>
    </row>
    <row r="10" customFormat="false" ht="15" hidden="false" customHeight="false" outlineLevel="0" collapsed="false">
      <c r="A10" s="110" t="n">
        <v>8</v>
      </c>
      <c r="B10" s="111" t="n">
        <f aca="false">IF(Übersicht!$C$13&gt;=A10,-Übersicht!$C$6,IF(A10=Übersicht!$C$13+1,Übersicht!$G$9,0))</f>
        <v>-2400</v>
      </c>
      <c r="C10" s="92" t="n">
        <f aca="false">C9+E10</f>
        <v>24200</v>
      </c>
      <c r="D10" s="92" t="n">
        <f aca="false">F9</f>
        <v>28872.0742761905</v>
      </c>
      <c r="E10" s="92" t="n">
        <f aca="false">$P$4-J9</f>
        <v>2400</v>
      </c>
      <c r="F10" s="92" t="n">
        <f aca="false">IF(ISNUMBER(Übersicht!C25),(D10+E10)*(1+Übersicht!C25),(D10+E10)*(1+$P$5))</f>
        <v>33148.3987327619</v>
      </c>
      <c r="G10" s="92" t="n">
        <f aca="false">F10-(E10+D10)</f>
        <v>1876.32445657143</v>
      </c>
      <c r="H10" s="92" t="n">
        <f aca="false">IF(G10&gt;0,(D10+E10)*$P$8*0.7,0)</f>
        <v>190.446932342</v>
      </c>
      <c r="I10" s="92" t="n">
        <f aca="false">IF(G10&gt;0,MIN(G10,H10),0)</f>
        <v>190.446932342</v>
      </c>
      <c r="J10" s="92" t="n">
        <f aca="false">IF(I10*$P$9&gt;$P$10,(I10*$P$9-$P$10)*$P$7,0)</f>
        <v>0</v>
      </c>
      <c r="K10" s="112" t="n">
        <f aca="false">K9+I10</f>
        <v>908.262471375332</v>
      </c>
      <c r="O10" s="115" t="s">
        <v>18</v>
      </c>
      <c r="P10" s="116" t="n">
        <f aca="false">Übersicht!C12</f>
        <v>801</v>
      </c>
    </row>
    <row r="11" customFormat="false" ht="15" hidden="false" customHeight="false" outlineLevel="0" collapsed="false">
      <c r="A11" s="110" t="n">
        <v>9</v>
      </c>
      <c r="B11" s="111" t="n">
        <f aca="false">IF(Übersicht!$C$13&gt;=A11,-Übersicht!$C$6,IF(A11=Übersicht!$C$13+1,Übersicht!$G$9,0))</f>
        <v>-2400</v>
      </c>
      <c r="C11" s="92" t="n">
        <f aca="false">C10+E11</f>
        <v>26600</v>
      </c>
      <c r="D11" s="92" t="n">
        <f aca="false">F10</f>
        <v>33148.3987327619</v>
      </c>
      <c r="E11" s="92" t="n">
        <f aca="false">$P$4-J10</f>
        <v>2400</v>
      </c>
      <c r="F11" s="92" t="n">
        <f aca="false">IF(ISNUMBER(Übersicht!C26),(D11+E11)*(1+Übersicht!C26),(D11+E11)*(1+$P$5))</f>
        <v>37681.3026567276</v>
      </c>
      <c r="G11" s="92" t="n">
        <f aca="false">F11-(E11+D11)</f>
        <v>2132.90392396571</v>
      </c>
      <c r="H11" s="92" t="n">
        <f aca="false">IF(G11&gt;0,(D11+E11)*$P$8*0.7,0)</f>
        <v>216.48974828252</v>
      </c>
      <c r="I11" s="92" t="n">
        <f aca="false">IF(G11&gt;0,MIN(G11,H11),0)</f>
        <v>216.48974828252</v>
      </c>
      <c r="J11" s="92" t="n">
        <f aca="false">IF(I11*$P$9&gt;$P$10,(I11*$P$9-$P$10)*$P$7,0)</f>
        <v>0</v>
      </c>
      <c r="K11" s="112" t="n">
        <f aca="false">K10+I11</f>
        <v>1124.75221965785</v>
      </c>
      <c r="O11" s="39" t="s">
        <v>19</v>
      </c>
      <c r="P11" s="97" t="n">
        <f aca="false">Übersicht!C13</f>
        <v>23</v>
      </c>
    </row>
    <row r="12" customFormat="false" ht="15.75" hidden="false" customHeight="false" outlineLevel="0" collapsed="false">
      <c r="A12" s="110" t="n">
        <v>10</v>
      </c>
      <c r="B12" s="111" t="n">
        <f aca="false">IF(Übersicht!$C$13&gt;=A12,-Übersicht!$C$6,IF(A12=Übersicht!$C$13+1,Übersicht!$G$9,0))</f>
        <v>-2400</v>
      </c>
      <c r="C12" s="92" t="n">
        <f aca="false">C11+E12</f>
        <v>29000</v>
      </c>
      <c r="D12" s="92" t="n">
        <f aca="false">F11</f>
        <v>37681.3026567276</v>
      </c>
      <c r="E12" s="92" t="n">
        <f aca="false">$P$4-J11</f>
        <v>2400</v>
      </c>
      <c r="F12" s="92" t="n">
        <f aca="false">IF(ISNUMBER(Übersicht!C27),(D12+E12)*(1+Übersicht!C27),(D12+E12)*(1+$P$5))</f>
        <v>42486.1808161313</v>
      </c>
      <c r="G12" s="92" t="n">
        <f aca="false">F12-(E12+D12)</f>
        <v>2404.87815940366</v>
      </c>
      <c r="H12" s="92" t="n">
        <f aca="false">IF(G12&gt;0,(D12+E12)*$P$8*0.7,0)</f>
        <v>244.095133179471</v>
      </c>
      <c r="I12" s="92" t="n">
        <f aca="false">IF(G12&gt;0,MIN(G12,H12),0)</f>
        <v>244.095133179471</v>
      </c>
      <c r="J12" s="92" t="n">
        <f aca="false">IF(I12*$P$9&gt;$P$10,(I12*$P$9-$P$10)*$P$7,0)</f>
        <v>0</v>
      </c>
      <c r="K12" s="112" t="n">
        <f aca="false">K11+I12</f>
        <v>1368.84735283732</v>
      </c>
      <c r="O12" s="98" t="s">
        <v>16</v>
      </c>
      <c r="P12" s="99" t="n">
        <f aca="true">IRR(B3:INDIRECT("B"&amp;P11+3),Übersicht!C7*(1-Übersicht!C9))</f>
        <v>0.0532909275934872</v>
      </c>
    </row>
    <row r="13" customFormat="false" ht="15" hidden="false" customHeight="false" outlineLevel="0" collapsed="false">
      <c r="A13" s="110" t="n">
        <v>11</v>
      </c>
      <c r="B13" s="111" t="n">
        <f aca="false">IF(Übersicht!$C$13&gt;=A13,-Übersicht!$C$6,IF(A13=Übersicht!$C$13+1,Übersicht!$G$9,0))</f>
        <v>-2400</v>
      </c>
      <c r="C13" s="92" t="n">
        <f aca="false">C12+E13</f>
        <v>31400</v>
      </c>
      <c r="D13" s="92" t="n">
        <f aca="false">F12</f>
        <v>42486.1808161313</v>
      </c>
      <c r="E13" s="92" t="n">
        <f aca="false">$P$4-J12</f>
        <v>2400</v>
      </c>
      <c r="F13" s="92" t="n">
        <f aca="false">IF(ISNUMBER(Übersicht!C28),(D13+E13)*(1+Übersicht!C28),(D13+E13)*(1+$P$5))</f>
        <v>47579.3516650991</v>
      </c>
      <c r="G13" s="92" t="n">
        <f aca="false">F13-(E13+D13)</f>
        <v>2693.17084896788</v>
      </c>
      <c r="H13" s="92" t="n">
        <f aca="false">IF(G13&gt;0,(D13+E13)*$P$8*0.7,0)</f>
        <v>273.356841170239</v>
      </c>
      <c r="I13" s="92" t="n">
        <f aca="false">IF(G13&gt;0,MIN(G13,H13),0)</f>
        <v>273.356841170239</v>
      </c>
      <c r="J13" s="92" t="n">
        <f aca="false">IF(I13*$P$9&gt;$P$10,(I13*$P$9-$P$10)*$P$7,0)</f>
        <v>0</v>
      </c>
      <c r="K13" s="112" t="n">
        <f aca="false">K12+I13</f>
        <v>1642.20419400756</v>
      </c>
    </row>
    <row r="14" customFormat="false" ht="15" hidden="false" customHeight="false" outlineLevel="0" collapsed="false">
      <c r="A14" s="110" t="n">
        <v>12</v>
      </c>
      <c r="B14" s="111" t="n">
        <f aca="false">IF(Übersicht!$C$13&gt;=A14,-Übersicht!$C$6,IF(A14=Übersicht!$C$13+1,Übersicht!$G$9,0))</f>
        <v>-2400</v>
      </c>
      <c r="C14" s="92" t="n">
        <f aca="false">C13+E14</f>
        <v>33800</v>
      </c>
      <c r="D14" s="92" t="n">
        <f aca="false">F13</f>
        <v>47579.3516650991</v>
      </c>
      <c r="E14" s="92" t="n">
        <f aca="false">$P$4-J13</f>
        <v>2400</v>
      </c>
      <c r="F14" s="92" t="n">
        <f aca="false">IF(ISNUMBER(Übersicht!C29),(D14+E14)*(1+Übersicht!C29),(D14+E14)*(1+$P$5))</f>
        <v>52978.1127650051</v>
      </c>
      <c r="G14" s="92" t="n">
        <f aca="false">F14-(E14+D14)</f>
        <v>2998.76109990595</v>
      </c>
      <c r="H14" s="92" t="n">
        <f aca="false">IF(G14&gt;0,(D14+E14)*$P$8*0.7,0)</f>
        <v>304.374251640454</v>
      </c>
      <c r="I14" s="92" t="n">
        <f aca="false">IF(G14&gt;0,MIN(G14,H14),0)</f>
        <v>304.374251640454</v>
      </c>
      <c r="J14" s="92" t="n">
        <f aca="false">IF(I14*$P$9&gt;$P$10,(I14*$P$9-$P$10)*$P$7,0)</f>
        <v>0</v>
      </c>
      <c r="K14" s="112" t="n">
        <f aca="false">K13+I14</f>
        <v>1946.57844564802</v>
      </c>
    </row>
    <row r="15" customFormat="false" ht="15" hidden="false" customHeight="false" outlineLevel="0" collapsed="false">
      <c r="A15" s="110" t="n">
        <v>13</v>
      </c>
      <c r="B15" s="111" t="n">
        <f aca="false">IF(Übersicht!$C$13&gt;=A15,-Übersicht!$C$6,IF(A15=Übersicht!$C$13+1,Übersicht!$G$9,0))</f>
        <v>-2400</v>
      </c>
      <c r="C15" s="92" t="n">
        <f aca="false">C14+E15</f>
        <v>36200</v>
      </c>
      <c r="D15" s="92" t="n">
        <f aca="false">F14</f>
        <v>52978.1127650051</v>
      </c>
      <c r="E15" s="92" t="n">
        <f aca="false">$P$4-J14</f>
        <v>2400</v>
      </c>
      <c r="F15" s="92" t="n">
        <f aca="false">IF(ISNUMBER(Übersicht!C30),(D15+E15)*(1+Übersicht!C30),(D15+E15)*(1+$P$5))</f>
        <v>58700.7995309054</v>
      </c>
      <c r="G15" s="92" t="n">
        <f aca="false">F15-(E15+D15)</f>
        <v>3322.68676590031</v>
      </c>
      <c r="H15" s="92" t="n">
        <f aca="false">IF(G15&gt;0,(D15+E15)*$P$8*0.7,0)</f>
        <v>337.252706738881</v>
      </c>
      <c r="I15" s="92" t="n">
        <f aca="false">IF(G15&gt;0,MIN(G15,H15),0)</f>
        <v>337.252706738881</v>
      </c>
      <c r="J15" s="92" t="n">
        <f aca="false">IF(I15*$P$9&gt;$P$10,(I15*$P$9-$P$10)*$P$7,0)</f>
        <v>0</v>
      </c>
      <c r="K15" s="112" t="n">
        <f aca="false">K14+I15</f>
        <v>2283.8311523869</v>
      </c>
    </row>
    <row r="16" customFormat="false" ht="15" hidden="false" customHeight="false" outlineLevel="0" collapsed="false">
      <c r="A16" s="110" t="n">
        <v>14</v>
      </c>
      <c r="B16" s="111" t="n">
        <f aca="false">IF(Übersicht!$C$13&gt;=A16,-Übersicht!$C$6,IF(A16=Übersicht!$C$13+1,Übersicht!$G$9,0))</f>
        <v>-2400</v>
      </c>
      <c r="C16" s="92" t="n">
        <f aca="false">C15+E16</f>
        <v>38600</v>
      </c>
      <c r="D16" s="92" t="n">
        <f aca="false">F15</f>
        <v>58700.7995309054</v>
      </c>
      <c r="E16" s="92" t="n">
        <f aca="false">$P$4-J15</f>
        <v>2400</v>
      </c>
      <c r="F16" s="92" t="n">
        <f aca="false">IF(ISNUMBER(Übersicht!C31),(D16+E16)*(1+Übersicht!C31),(D16+E16)*(1+$P$5))</f>
        <v>64766.8475027597</v>
      </c>
      <c r="G16" s="92" t="n">
        <f aca="false">F16-(E16+D16)</f>
        <v>3666.04797185433</v>
      </c>
      <c r="H16" s="92" t="n">
        <f aca="false">IF(G16&gt;0,(D16+E16)*$P$8*0.7,0)</f>
        <v>372.103869143214</v>
      </c>
      <c r="I16" s="92" t="n">
        <f aca="false">IF(G16&gt;0,MIN(G16,H16),0)</f>
        <v>372.103869143214</v>
      </c>
      <c r="J16" s="92" t="n">
        <f aca="false">IF(I16*$P$9&gt;$P$10,(I16*$P$9-$P$10)*$P$7,0)</f>
        <v>0</v>
      </c>
      <c r="K16" s="112" t="n">
        <f aca="false">K15+I16</f>
        <v>2655.93502153011</v>
      </c>
    </row>
    <row r="17" customFormat="false" ht="15" hidden="false" customHeight="false" outlineLevel="0" collapsed="false">
      <c r="A17" s="110" t="n">
        <v>15</v>
      </c>
      <c r="B17" s="111" t="n">
        <f aca="false">IF(Übersicht!$C$13&gt;=A17,-Übersicht!$C$6,IF(A17=Übersicht!$C$13+1,Übersicht!$G$9,0))</f>
        <v>-2400</v>
      </c>
      <c r="C17" s="92" t="n">
        <f aca="false">C16+E17</f>
        <v>41000</v>
      </c>
      <c r="D17" s="92" t="n">
        <f aca="false">F16</f>
        <v>64766.8475027597</v>
      </c>
      <c r="E17" s="92" t="n">
        <f aca="false">$P$4-J16</f>
        <v>2400</v>
      </c>
      <c r="F17" s="92" t="n">
        <f aca="false">IF(ISNUMBER(Übersicht!C32),(D17+E17)*(1+Übersicht!C32),(D17+E17)*(1+$P$5))</f>
        <v>71196.8583529253</v>
      </c>
      <c r="G17" s="92" t="n">
        <f aca="false">F17-(E17+D17)</f>
        <v>4030.01085016559</v>
      </c>
      <c r="H17" s="92" t="n">
        <f aca="false">IF(G17&gt;0,(D17+E17)*$P$8*0.7,0)</f>
        <v>409.046101291807</v>
      </c>
      <c r="I17" s="92" t="n">
        <f aca="false">IF(G17&gt;0,MIN(G17,H17),0)</f>
        <v>409.046101291807</v>
      </c>
      <c r="J17" s="92" t="n">
        <f aca="false">IF(I17*$P$9&gt;$P$10,(I17*$P$9-$P$10)*$P$7,0)</f>
        <v>0</v>
      </c>
      <c r="K17" s="112" t="n">
        <f aca="false">K16+I17</f>
        <v>3064.98112282192</v>
      </c>
    </row>
    <row r="18" customFormat="false" ht="15" hidden="false" customHeight="false" outlineLevel="0" collapsed="false">
      <c r="A18" s="110" t="n">
        <v>16</v>
      </c>
      <c r="B18" s="111" t="n">
        <f aca="false">IF(Übersicht!$C$13&gt;=A18,-Übersicht!$C$6,IF(A18=Übersicht!$C$13+1,Übersicht!$G$9,0))</f>
        <v>-2400</v>
      </c>
      <c r="C18" s="92" t="n">
        <f aca="false">C17+E18</f>
        <v>43400</v>
      </c>
      <c r="D18" s="92" t="n">
        <f aca="false">F17</f>
        <v>71196.8583529253</v>
      </c>
      <c r="E18" s="92" t="n">
        <f aca="false">$P$4-J17</f>
        <v>2400</v>
      </c>
      <c r="F18" s="92" t="n">
        <f aca="false">IF(ISNUMBER(Übersicht!C33),(D18+E18)*(1+Übersicht!C33),(D18+E18)*(1+$P$5))</f>
        <v>78012.6698541009</v>
      </c>
      <c r="G18" s="92" t="n">
        <f aca="false">F18-(E18+D18)</f>
        <v>4415.81150117553</v>
      </c>
      <c r="H18" s="92" t="n">
        <f aca="false">IF(G18&gt;0,(D18+E18)*$P$8*0.7,0)</f>
        <v>448.204867369315</v>
      </c>
      <c r="I18" s="92" t="n">
        <f aca="false">IF(G18&gt;0,MIN(G18,H18),0)</f>
        <v>448.204867369315</v>
      </c>
      <c r="J18" s="92" t="n">
        <f aca="false">IF(I18*$P$9&gt;$P$10,(I18*$P$9-$P$10)*$P$7,0)</f>
        <v>0</v>
      </c>
      <c r="K18" s="112" t="n">
        <f aca="false">K17+I18</f>
        <v>3513.18599019123</v>
      </c>
    </row>
    <row r="19" customFormat="false" ht="15" hidden="false" customHeight="false" outlineLevel="0" collapsed="false">
      <c r="A19" s="110" t="n">
        <v>17</v>
      </c>
      <c r="B19" s="111" t="n">
        <f aca="false">IF(Übersicht!$C$13&gt;=A19,-Übersicht!$C$6,IF(A19=Übersicht!$C$13+1,Übersicht!$G$9,0))</f>
        <v>-2400</v>
      </c>
      <c r="C19" s="92" t="n">
        <f aca="false">C18+E19</f>
        <v>45800</v>
      </c>
      <c r="D19" s="92" t="n">
        <f aca="false">F18</f>
        <v>78012.6698541009</v>
      </c>
      <c r="E19" s="92" t="n">
        <f aca="false">$P$4-J18</f>
        <v>2400</v>
      </c>
      <c r="F19" s="92" t="n">
        <f aca="false">IF(ISNUMBER(Übersicht!C34),(D19+E19)*(1+Übersicht!C34),(D19+E19)*(1+$P$5))</f>
        <v>85237.4300453469</v>
      </c>
      <c r="G19" s="92" t="n">
        <f aca="false">F19-(E19+D19)</f>
        <v>4824.76019124605</v>
      </c>
      <c r="H19" s="92" t="n">
        <f aca="false">IF(G19&gt;0,(D19+E19)*$P$8*0.7,0)</f>
        <v>489.713159411474</v>
      </c>
      <c r="I19" s="92" t="n">
        <f aca="false">IF(G19&gt;0,MIN(G19,H19),0)</f>
        <v>489.713159411474</v>
      </c>
      <c r="J19" s="92" t="n">
        <f aca="false">IF(I19*$P$9&gt;$P$10,(I19*$P$9-$P$10)*$P$7,0)</f>
        <v>0</v>
      </c>
      <c r="K19" s="112" t="n">
        <f aca="false">K18+I19</f>
        <v>4002.89914960271</v>
      </c>
    </row>
    <row r="20" customFormat="false" ht="15" hidden="false" customHeight="false" outlineLevel="0" collapsed="false">
      <c r="A20" s="110" t="n">
        <v>18</v>
      </c>
      <c r="B20" s="111" t="n">
        <f aca="false">IF(Übersicht!$C$13&gt;=A20,-Übersicht!$C$6,IF(A20=Übersicht!$C$13+1,Übersicht!$G$9,0))</f>
        <v>-2400</v>
      </c>
      <c r="C20" s="92" t="n">
        <f aca="false">C19+E20</f>
        <v>48200</v>
      </c>
      <c r="D20" s="92" t="n">
        <f aca="false">F19</f>
        <v>85237.4300453469</v>
      </c>
      <c r="E20" s="92" t="n">
        <f aca="false">$P$4-J19</f>
        <v>2400</v>
      </c>
      <c r="F20" s="92" t="n">
        <f aca="false">IF(ISNUMBER(Übersicht!C35),(D20+E20)*(1+Übersicht!C35),(D20+E20)*(1+$P$5))</f>
        <v>92895.6758480677</v>
      </c>
      <c r="G20" s="92" t="n">
        <f aca="false">F20-(E20+D20)</f>
        <v>5258.24580272082</v>
      </c>
      <c r="H20" s="92" t="n">
        <f aca="false">IF(G20&gt;0,(D20+E20)*$P$8*0.7,0)</f>
        <v>533.711948976163</v>
      </c>
      <c r="I20" s="92" t="n">
        <f aca="false">IF(G20&gt;0,MIN(G20,H20),0)</f>
        <v>533.711948976163</v>
      </c>
      <c r="J20" s="92" t="n">
        <f aca="false">IF(I20*$P$9&gt;$P$10,(I20*$P$9-$P$10)*$P$7,0)</f>
        <v>0</v>
      </c>
      <c r="K20" s="112" t="n">
        <f aca="false">K19+I20</f>
        <v>4536.61109857887</v>
      </c>
    </row>
    <row r="21" customFormat="false" ht="15" hidden="false" customHeight="false" outlineLevel="0" collapsed="false">
      <c r="A21" s="110" t="n">
        <v>19</v>
      </c>
      <c r="B21" s="111" t="n">
        <f aca="false">IF(Übersicht!$C$13&gt;=A21,-Übersicht!$C$6,IF(A21=Übersicht!$C$13+1,Übersicht!$G$9,0))</f>
        <v>-2400</v>
      </c>
      <c r="C21" s="92" t="n">
        <f aca="false">C20+E21</f>
        <v>50600</v>
      </c>
      <c r="D21" s="92" t="n">
        <f aca="false">F20</f>
        <v>92895.6758480677</v>
      </c>
      <c r="E21" s="92" t="n">
        <f aca="false">$P$4-J20</f>
        <v>2400</v>
      </c>
      <c r="F21" s="92" t="n">
        <f aca="false">IF(ISNUMBER(Übersicht!C36),(D21+E21)*(1+Übersicht!C36),(D21+E21)*(1+$P$5))</f>
        <v>101013.416398952</v>
      </c>
      <c r="G21" s="92" t="n">
        <f aca="false">F21-(E21+D21)</f>
        <v>5717.74055088407</v>
      </c>
      <c r="H21" s="92" t="n">
        <f aca="false">IF(G21&gt;0,(D21+E21)*$P$8*0.7,0)</f>
        <v>580.350665914732</v>
      </c>
      <c r="I21" s="92" t="n">
        <f aca="false">IF(G21&gt;0,MIN(G21,H21),0)</f>
        <v>580.350665914732</v>
      </c>
      <c r="J21" s="92" t="n">
        <f aca="false">IF(I21*$P$9&gt;$P$10,(I21*$P$9-$P$10)*$P$7,0)</f>
        <v>0</v>
      </c>
      <c r="K21" s="112" t="n">
        <f aca="false">K20+I21</f>
        <v>5116.9617644936</v>
      </c>
    </row>
    <row r="22" customFormat="false" ht="15" hidden="false" customHeight="false" outlineLevel="0" collapsed="false">
      <c r="A22" s="110" t="n">
        <v>20</v>
      </c>
      <c r="B22" s="111" t="n">
        <f aca="false">IF(Übersicht!$C$13&gt;=A22,-Übersicht!$C$6,IF(A22=Übersicht!$C$13+1,Übersicht!$G$9,0))</f>
        <v>-2400</v>
      </c>
      <c r="C22" s="92" t="n">
        <f aca="false">C21+E22</f>
        <v>53000</v>
      </c>
      <c r="D22" s="92" t="n">
        <f aca="false">F21</f>
        <v>101013.416398952</v>
      </c>
      <c r="E22" s="92" t="n">
        <f aca="false">$P$4-J21</f>
        <v>2400</v>
      </c>
      <c r="F22" s="92" t="n">
        <f aca="false">IF(ISNUMBER(Übersicht!C37),(D22+E22)*(1+Übersicht!C37),(D22+E22)*(1+$P$5))</f>
        <v>109618.221382889</v>
      </c>
      <c r="G22" s="92" t="n">
        <f aca="false">F22-(E22+D22)</f>
        <v>6204.80498393711</v>
      </c>
      <c r="H22" s="92" t="n">
        <f aca="false">IF(G22&gt;0,(D22+E22)*$P$8*0.7,0)</f>
        <v>629.787705869617</v>
      </c>
      <c r="I22" s="92" t="n">
        <f aca="false">IF(G22&gt;0,MIN(G22,H22),0)</f>
        <v>629.787705869617</v>
      </c>
      <c r="J22" s="92" t="n">
        <f aca="false">IF(I22*$P$9&gt;$P$10,(I22*$P$9-$P$10)*$P$7,0)</f>
        <v>0</v>
      </c>
      <c r="K22" s="112" t="n">
        <f aca="false">K21+I22</f>
        <v>5746.74947036322</v>
      </c>
    </row>
    <row r="23" customFormat="false" ht="15" hidden="false" customHeight="false" outlineLevel="0" collapsed="false">
      <c r="A23" s="110" t="n">
        <v>21</v>
      </c>
      <c r="B23" s="111" t="n">
        <f aca="false">IF(Übersicht!$C$13&gt;=A23,-Übersicht!$C$6,IF(A23=Übersicht!$C$13+1,Übersicht!$G$9,0))</f>
        <v>-2400</v>
      </c>
      <c r="C23" s="92" t="n">
        <f aca="false">C22+E23</f>
        <v>55400</v>
      </c>
      <c r="D23" s="92" t="n">
        <f aca="false">F22</f>
        <v>109618.221382889</v>
      </c>
      <c r="E23" s="92" t="n">
        <f aca="false">$P$4-J22</f>
        <v>2400</v>
      </c>
      <c r="F23" s="92" t="n">
        <f aca="false">IF(ISNUMBER(Übersicht!E18),(D23+E23)*(1+Übersicht!E18),(D23+E23)*(1+$P$5))</f>
        <v>118739.314665862</v>
      </c>
      <c r="G23" s="92" t="n">
        <f aca="false">F23-(E23+D23)</f>
        <v>6721.09328297334</v>
      </c>
      <c r="H23" s="92" t="n">
        <f aca="false">IF(G23&gt;0,(D23+E23)*$P$8*0.7,0)</f>
        <v>682.190968221793</v>
      </c>
      <c r="I23" s="92" t="n">
        <f aca="false">IF(G23&gt;0,MIN(G23,H23),0)</f>
        <v>682.190968221793</v>
      </c>
      <c r="J23" s="92" t="n">
        <f aca="false">IF(I23*$P$9&gt;$P$10,(I23*$P$9-$P$10)*$P$7,0)</f>
        <v>0</v>
      </c>
      <c r="K23" s="112" t="n">
        <f aca="false">K22+I23</f>
        <v>6428.94043858501</v>
      </c>
    </row>
    <row r="24" customFormat="false" ht="15" hidden="false" customHeight="false" outlineLevel="0" collapsed="false">
      <c r="A24" s="110" t="n">
        <v>22</v>
      </c>
      <c r="B24" s="111" t="n">
        <f aca="false">IF(Übersicht!$C$13&gt;=A24,-Übersicht!$C$6,IF(A24=Übersicht!$C$13+1,Übersicht!$G$9,0))</f>
        <v>-2400</v>
      </c>
      <c r="C24" s="92" t="n">
        <f aca="false">C23+E24</f>
        <v>57800</v>
      </c>
      <c r="D24" s="92" t="n">
        <f aca="false">F23</f>
        <v>118739.314665862</v>
      </c>
      <c r="E24" s="92" t="n">
        <f aca="false">$P$4-J23</f>
        <v>2400</v>
      </c>
      <c r="F24" s="92" t="n">
        <f aca="false">IF(ISNUMBER(Übersicht!E19),(D24+E24)*(1+Übersicht!E19),(D24+E24)*(1+$P$5))</f>
        <v>128407.673545814</v>
      </c>
      <c r="G24" s="92" t="n">
        <f aca="false">F24-(E24+D24)</f>
        <v>7268.35887995175</v>
      </c>
      <c r="H24" s="92" t="n">
        <f aca="false">IF(G24&gt;0,(D24+E24)*$P$8*0.7,0)</f>
        <v>737.738426315101</v>
      </c>
      <c r="I24" s="92" t="n">
        <f aca="false">IF(G24&gt;0,MIN(G24,H24),0)</f>
        <v>737.738426315101</v>
      </c>
      <c r="J24" s="92" t="n">
        <f aca="false">IF(I24*$P$9&gt;$P$10,(I24*$P$9-$P$10)*$P$7,0)</f>
        <v>0</v>
      </c>
      <c r="K24" s="112" t="n">
        <f aca="false">K23+I24</f>
        <v>7166.67886490011</v>
      </c>
    </row>
    <row r="25" customFormat="false" ht="15" hidden="false" customHeight="false" outlineLevel="0" collapsed="false">
      <c r="A25" s="110" t="n">
        <v>23</v>
      </c>
      <c r="B25" s="111" t="n">
        <f aca="false">IF(Übersicht!$C$13&gt;=A25,-Übersicht!$C$6,IF(A25=Übersicht!$C$13+1,Übersicht!$G$9,0))</f>
        <v>-2400</v>
      </c>
      <c r="C25" s="92" t="n">
        <f aca="false">C24+E25</f>
        <v>60200</v>
      </c>
      <c r="D25" s="92" t="n">
        <f aca="false">F24</f>
        <v>128407.673545814</v>
      </c>
      <c r="E25" s="92" t="n">
        <f aca="false">$P$4-J24</f>
        <v>2400</v>
      </c>
      <c r="F25" s="92" t="n">
        <f aca="false">IF(ISNUMBER(Übersicht!E20),(D25+E25)*(1+Übersicht!E20),(D25+E25)*(1+$P$5))</f>
        <v>138656.133958563</v>
      </c>
      <c r="G25" s="92" t="n">
        <f aca="false">F25-(E25+D25)</f>
        <v>7848.46041274886</v>
      </c>
      <c r="H25" s="92" t="n">
        <f aca="false">IF(G25&gt;0,(D25+E25)*$P$8*0.7,0)</f>
        <v>796.618731894007</v>
      </c>
      <c r="I25" s="92" t="n">
        <f aca="false">IF(G25&gt;0,MIN(G25,H25),0)</f>
        <v>796.618731894007</v>
      </c>
      <c r="J25" s="92" t="n">
        <f aca="false">IF(I25*$P$9&gt;$P$10,(I25*$P$9-$P$10)*$P$7,0)</f>
        <v>0</v>
      </c>
      <c r="K25" s="112" t="n">
        <f aca="false">K24+I25</f>
        <v>7963.29759679412</v>
      </c>
    </row>
    <row r="26" customFormat="false" ht="15" hidden="false" customHeight="false" outlineLevel="0" collapsed="false">
      <c r="A26" s="110" t="n">
        <v>24</v>
      </c>
      <c r="B26" s="111" t="n">
        <f aca="false">IF(Übersicht!$C$13&gt;=A26,-Übersicht!$C$6,IF(A26=Übersicht!$C$13+1,Übersicht!$G$9,0))</f>
        <v>125641.394045271</v>
      </c>
      <c r="C26" s="92" t="n">
        <f aca="false">C25+E26</f>
        <v>62600</v>
      </c>
      <c r="D26" s="92" t="n">
        <f aca="false">F25</f>
        <v>138656.133958563</v>
      </c>
      <c r="E26" s="92" t="n">
        <f aca="false">$P$4-J25</f>
        <v>2400</v>
      </c>
      <c r="F26" s="92" t="n">
        <f aca="false">IF(ISNUMBER(Übersicht!E21),(D26+E26)*(1+Übersicht!E21),(D26+E26)*(1+$P$5))</f>
        <v>149519.501996077</v>
      </c>
      <c r="G26" s="92" t="n">
        <f aca="false">F26-(E26+D26)</f>
        <v>8463.36803751378</v>
      </c>
      <c r="H26" s="92" t="n">
        <f aca="false">IF(G26&gt;0,(D26+E26)*$P$8*0.7,0)</f>
        <v>859.031855807648</v>
      </c>
      <c r="I26" s="92" t="n">
        <f aca="false">IF(G26&gt;0,MIN(G26,H26),0)</f>
        <v>859.031855807648</v>
      </c>
      <c r="J26" s="92" t="n">
        <f aca="false">IF(I26*$P$9&gt;$P$10,(I26*$P$9-$P$10)*$P$7,0)</f>
        <v>0</v>
      </c>
      <c r="K26" s="112" t="n">
        <f aca="false">K25+I26</f>
        <v>8822.32945260177</v>
      </c>
    </row>
    <row r="27" customFormat="false" ht="15" hidden="false" customHeight="false" outlineLevel="0" collapsed="false">
      <c r="A27" s="110" t="n">
        <v>25</v>
      </c>
      <c r="B27" s="111" t="n">
        <f aca="false">IF(Übersicht!$C$13&gt;=A27,-Übersicht!$C$6,IF(A27=Übersicht!$C$13+1,Übersicht!$G$9,0))</f>
        <v>0</v>
      </c>
      <c r="C27" s="92" t="n">
        <f aca="false">C26+E27</f>
        <v>65000</v>
      </c>
      <c r="D27" s="92" t="n">
        <f aca="false">F26</f>
        <v>149519.501996077</v>
      </c>
      <c r="E27" s="92" t="n">
        <f aca="false">$P$4-J26</f>
        <v>2400</v>
      </c>
      <c r="F27" s="92" t="n">
        <f aca="false">IF(ISNUMBER(Übersicht!E22),(D27+E27)*(1+Übersicht!E22),(D27+E27)*(1+$P$5))</f>
        <v>161034.672115841</v>
      </c>
      <c r="G27" s="92" t="n">
        <f aca="false">F27-(E27+D27)</f>
        <v>9115.1701197646</v>
      </c>
      <c r="H27" s="92" t="n">
        <f aca="false">IF(G27&gt;0,(D27+E27)*$P$8*0.7,0)</f>
        <v>925.189767156107</v>
      </c>
      <c r="I27" s="92" t="n">
        <f aca="false">IF(G27&gt;0,MIN(G27,H27),0)</f>
        <v>925.189767156107</v>
      </c>
      <c r="J27" s="92" t="n">
        <f aca="false">IF(I27*$P$9&gt;$P$10,(I27*$P$9-$P$10)*$P$7,0)</f>
        <v>0</v>
      </c>
      <c r="K27" s="112" t="n">
        <f aca="false">K26+I27</f>
        <v>9747.51921975788</v>
      </c>
    </row>
    <row r="28" customFormat="false" ht="15" hidden="false" customHeight="false" outlineLevel="0" collapsed="false">
      <c r="A28" s="110" t="n">
        <v>26</v>
      </c>
      <c r="B28" s="111" t="n">
        <f aca="false">IF(Übersicht!$C$13&gt;=A28,-Übersicht!$C$6,IF(A28=Übersicht!$C$13+1,Übersicht!$G$9,0))</f>
        <v>0</v>
      </c>
      <c r="C28" s="92" t="n">
        <f aca="false">C27+E28</f>
        <v>67400</v>
      </c>
      <c r="D28" s="92" t="n">
        <f aca="false">F27</f>
        <v>161034.672115841</v>
      </c>
      <c r="E28" s="92" t="n">
        <f aca="false">$P$4-J27</f>
        <v>2400</v>
      </c>
      <c r="F28" s="92" t="n">
        <f aca="false">IF(ISNUMBER(Übersicht!E23),(D28+E28)*(1+Übersicht!E23),(D28+E28)*(1+$P$5))</f>
        <v>173240.752442792</v>
      </c>
      <c r="G28" s="92" t="n">
        <f aca="false">F28-(E28+D28)</f>
        <v>9806.08032695047</v>
      </c>
      <c r="H28" s="92" t="n">
        <f aca="false">IF(G28&gt;0,(D28+E28)*$P$8*0.7,0)</f>
        <v>995.317153185473</v>
      </c>
      <c r="I28" s="92" t="n">
        <f aca="false">IF(G28&gt;0,MIN(G28,H28),0)</f>
        <v>995.317153185473</v>
      </c>
      <c r="J28" s="92" t="n">
        <f aca="false">IF(I28*$P$9&gt;$P$10,(I28*$P$9-$P$10)*$P$7,0)</f>
        <v>0</v>
      </c>
      <c r="K28" s="112" t="n">
        <f aca="false">K27+I28</f>
        <v>10742.8363729434</v>
      </c>
    </row>
    <row r="29" customFormat="false" ht="15" hidden="false" customHeight="false" outlineLevel="0" collapsed="false">
      <c r="A29" s="110" t="n">
        <v>27</v>
      </c>
      <c r="B29" s="111" t="n">
        <f aca="false">IF(Übersicht!$C$13&gt;=A29,-Übersicht!$C$6,IF(A29=Übersicht!$C$13+1,Übersicht!$G$9,0))</f>
        <v>0</v>
      </c>
      <c r="C29" s="92" t="n">
        <f aca="false">C28+E29</f>
        <v>69800</v>
      </c>
      <c r="D29" s="92" t="n">
        <f aca="false">F28</f>
        <v>173240.752442792</v>
      </c>
      <c r="E29" s="92" t="n">
        <f aca="false">$P$4-J28</f>
        <v>2400</v>
      </c>
      <c r="F29" s="92" t="n">
        <f aca="false">IF(ISNUMBER(Übersicht!E24),(D29+E29)*(1+Übersicht!E24),(D29+E29)*(1+$P$5))</f>
        <v>186179.197589359</v>
      </c>
      <c r="G29" s="92" t="n">
        <f aca="false">F29-(E29+D29)</f>
        <v>10538.4451465675</v>
      </c>
      <c r="H29" s="92" t="n">
        <f aca="false">IF(G29&gt;0,(D29+E29)*$P$8*0.7,0)</f>
        <v>1069.6521823766</v>
      </c>
      <c r="I29" s="92" t="n">
        <f aca="false">IF(G29&gt;0,MIN(G29,H29),0)</f>
        <v>1069.6521823766</v>
      </c>
      <c r="J29" s="92" t="n">
        <f aca="false">IF(I29*$P$9&gt;$P$10,(I29*$P$9-$P$10)*$P$7,0)</f>
        <v>0</v>
      </c>
      <c r="K29" s="112" t="n">
        <f aca="false">K28+I29</f>
        <v>11812.48855532</v>
      </c>
    </row>
    <row r="30" customFormat="false" ht="15" hidden="false" customHeight="false" outlineLevel="0" collapsed="false">
      <c r="A30" s="110" t="n">
        <v>28</v>
      </c>
      <c r="B30" s="111" t="n">
        <f aca="false">IF(Übersicht!$C$13&gt;=A30,-Übersicht!$C$6,IF(A30=Übersicht!$C$13+1,Übersicht!$G$9,0))</f>
        <v>0</v>
      </c>
      <c r="C30" s="92" t="n">
        <f aca="false">C29+E30</f>
        <v>72200</v>
      </c>
      <c r="D30" s="92" t="n">
        <f aca="false">F29</f>
        <v>186179.197589359</v>
      </c>
      <c r="E30" s="92" t="n">
        <f aca="false">$P$4-J29</f>
        <v>2400</v>
      </c>
      <c r="F30" s="92" t="n">
        <f aca="false">IF(ISNUMBER(Übersicht!E25),(D30+E30)*(1+Übersicht!E25),(D30+E30)*(1+$P$5))</f>
        <v>199893.949444721</v>
      </c>
      <c r="G30" s="92" t="n">
        <f aca="false">F30-(E30+D30)</f>
        <v>11314.7518553616</v>
      </c>
      <c r="H30" s="92" t="n">
        <f aca="false">IF(G30&gt;0,(D30+E30)*$P$8*0.7,0)</f>
        <v>1148.4473133192</v>
      </c>
      <c r="I30" s="92" t="n">
        <f aca="false">IF(G30&gt;0,MIN(G30,H30),0)</f>
        <v>1148.4473133192</v>
      </c>
      <c r="J30" s="92" t="n">
        <f aca="false">IF(I30*$P$9&gt;$P$10,(I30*$P$9-$P$10)*$P$7,0)</f>
        <v>0.768335221556824</v>
      </c>
      <c r="K30" s="112" t="n">
        <f aca="false">K29+I30</f>
        <v>12960.9358686391</v>
      </c>
    </row>
    <row r="31" customFormat="false" ht="15" hidden="false" customHeight="false" outlineLevel="0" collapsed="false">
      <c r="A31" s="110" t="n">
        <v>29</v>
      </c>
      <c r="B31" s="111" t="n">
        <f aca="false">IF(Übersicht!$C$13&gt;=A31,-Übersicht!$C$6,IF(A31=Übersicht!$C$13+1,Übersicht!$G$9,0))</f>
        <v>0</v>
      </c>
      <c r="C31" s="92" t="n">
        <f aca="false">C30+E31</f>
        <v>74599.2316647785</v>
      </c>
      <c r="D31" s="92" t="n">
        <f aca="false">F30</f>
        <v>199893.949444721</v>
      </c>
      <c r="E31" s="92" t="n">
        <f aca="false">$P$4-J30</f>
        <v>2399.23166477844</v>
      </c>
      <c r="F31" s="92" t="n">
        <f aca="false">IF(ISNUMBER(Übersicht!E26),(D31+E31)*(1+Übersicht!E26),(D31+E31)*(1+$P$5))</f>
        <v>214430.771976069</v>
      </c>
      <c r="G31" s="92" t="n">
        <f aca="false">F31-(E31+D31)</f>
        <v>12137.59086657</v>
      </c>
      <c r="H31" s="92" t="n">
        <f aca="false">IF(G31&gt;0,(D31+E31)*$P$8*0.7,0)</f>
        <v>1231.96547295685</v>
      </c>
      <c r="I31" s="92" t="n">
        <f aca="false">IF(G31&gt;0,MIN(G31,H31),0)</f>
        <v>1231.96547295685</v>
      </c>
      <c r="J31" s="92" t="n">
        <f aca="false">IF(I31*$P$9&gt;$P$10,(I31*$P$9-$P$10)*$P$7,0)</f>
        <v>16.1878754446584</v>
      </c>
      <c r="K31" s="112" t="n">
        <f aca="false">K30+I31</f>
        <v>14192.901341596</v>
      </c>
    </row>
    <row r="32" customFormat="false" ht="15" hidden="false" customHeight="false" outlineLevel="0" collapsed="false">
      <c r="A32" s="110" t="n">
        <v>30</v>
      </c>
      <c r="B32" s="111" t="n">
        <f aca="false">IF(Übersicht!$C$13&gt;=A32,-Übersicht!$C$6,IF(A32=Übersicht!$C$13+1,Übersicht!$G$9,0))</f>
        <v>0</v>
      </c>
      <c r="C32" s="92" t="n">
        <f aca="false">C31+E32</f>
        <v>76983.0437893338</v>
      </c>
      <c r="D32" s="92" t="n">
        <f aca="false">F31</f>
        <v>214430.771976069</v>
      </c>
      <c r="E32" s="92" t="n">
        <f aca="false">$P$4-J31</f>
        <v>2383.81212455534</v>
      </c>
      <c r="F32" s="92" t="n">
        <f aca="false">IF(ISNUMBER(Übersicht!E27),(D32+E32)*(1+Übersicht!E27),(D32+E32)*(1+$P$5))</f>
        <v>229823.459146662</v>
      </c>
      <c r="G32" s="92" t="n">
        <f aca="false">F32-(E32+D32)</f>
        <v>13008.8750460375</v>
      </c>
      <c r="H32" s="92" t="n">
        <f aca="false">IF(G32&gt;0,(D32+E32)*$P$8*0.7,0)</f>
        <v>1320.4008171728</v>
      </c>
      <c r="I32" s="92" t="n">
        <f aca="false">IF(G32&gt;0,MIN(G32,H32),0)</f>
        <v>1320.4008171728</v>
      </c>
      <c r="J32" s="92" t="n">
        <f aca="false">IF(I32*$P$9&gt;$P$10,(I32*$P$9-$P$10)*$P$7,0)</f>
        <v>32.5152508705288</v>
      </c>
      <c r="K32" s="112" t="n">
        <f aca="false">K31+I32</f>
        <v>15513.3021587688</v>
      </c>
    </row>
    <row r="33" customFormat="false" ht="15" hidden="false" customHeight="false" outlineLevel="0" collapsed="false">
      <c r="A33" s="110" t="n">
        <v>31</v>
      </c>
      <c r="B33" s="111" t="n">
        <f aca="false">IF(Übersicht!$C$13&gt;=A33,-Übersicht!$C$6,IF(A33=Übersicht!$C$13+1,Übersicht!$G$9,0))</f>
        <v>0</v>
      </c>
      <c r="C33" s="92" t="n">
        <f aca="false">C32+E33</f>
        <v>79350.5285384633</v>
      </c>
      <c r="D33" s="92" t="n">
        <f aca="false">F32</f>
        <v>229823.459146662</v>
      </c>
      <c r="E33" s="92" t="n">
        <f aca="false">$P$4-J32</f>
        <v>2367.48474912947</v>
      </c>
      <c r="F33" s="92" t="n">
        <f aca="false">IF(ISNUMBER(Übersicht!E28),(D33+E33)*(1+Übersicht!E28),(D33+E33)*(1+$P$5))</f>
        <v>246122.400529539</v>
      </c>
      <c r="G33" s="92" t="n">
        <f aca="false">F33-(E33+D33)</f>
        <v>13931.4566337475</v>
      </c>
      <c r="H33" s="92" t="n">
        <f aca="false">IF(G33&gt;0,(D33+E33)*$P$8*0.7,0)</f>
        <v>1414.04284832537</v>
      </c>
      <c r="I33" s="92" t="n">
        <f aca="false">IF(G33&gt;0,MIN(G33,H33),0)</f>
        <v>1414.04284832537</v>
      </c>
      <c r="J33" s="92" t="n">
        <f aca="false">IF(I33*$P$9&gt;$P$10,(I33*$P$9-$P$10)*$P$7,0)</f>
        <v>49.8039108720714</v>
      </c>
      <c r="K33" s="112" t="n">
        <f aca="false">K32+I33</f>
        <v>16927.3450070942</v>
      </c>
    </row>
    <row r="34" customFormat="false" ht="15" hidden="false" customHeight="false" outlineLevel="0" collapsed="false">
      <c r="A34" s="110" t="n">
        <v>32</v>
      </c>
      <c r="B34" s="111" t="n">
        <f aca="false">IF(Übersicht!$C$13&gt;=A34,-Übersicht!$C$6,IF(A34=Übersicht!$C$13+1,Übersicht!$G$9,0))</f>
        <v>0</v>
      </c>
      <c r="C34" s="92" t="n">
        <f aca="false">C33+E34</f>
        <v>81700.7246275912</v>
      </c>
      <c r="D34" s="92" t="n">
        <f aca="false">F33</f>
        <v>246122.400529539</v>
      </c>
      <c r="E34" s="92" t="n">
        <f aca="false">$P$4-J33</f>
        <v>2350.19608912793</v>
      </c>
      <c r="F34" s="92" t="n">
        <f aca="false">IF(ISNUMBER(Übersicht!E29),(D34+E34)*(1+Übersicht!E29),(D34+E34)*(1+$P$5))</f>
        <v>263380.952415787</v>
      </c>
      <c r="G34" s="92" t="n">
        <f aca="false">F34-(E34+D34)</f>
        <v>14908.35579712</v>
      </c>
      <c r="H34" s="92" t="n">
        <f aca="false">IF(G34&gt;0,(D34+E34)*$P$8*0.7,0)</f>
        <v>1513.19811340768</v>
      </c>
      <c r="I34" s="92" t="n">
        <f aca="false">IF(G34&gt;0,MIN(G34,H34),0)</f>
        <v>1513.19811340768</v>
      </c>
      <c r="J34" s="92" t="n">
        <f aca="false">IF(I34*$P$9&gt;$P$10,(I34*$P$9-$P$10)*$P$7,0)</f>
        <v>68.1104516878931</v>
      </c>
      <c r="K34" s="112" t="n">
        <f aca="false">K33+I34</f>
        <v>18440.5431205019</v>
      </c>
    </row>
    <row r="35" customFormat="false" ht="15" hidden="false" customHeight="false" outlineLevel="0" collapsed="false">
      <c r="A35" s="110" t="n">
        <v>33</v>
      </c>
      <c r="B35" s="111" t="n">
        <f aca="false">IF(Übersicht!$C$13&gt;=A35,-Übersicht!$C$6,IF(A35=Übersicht!$C$13+1,Übersicht!$G$9,0))</f>
        <v>0</v>
      </c>
      <c r="C35" s="92" t="n">
        <f aca="false">C34+E35</f>
        <v>84032.6141759033</v>
      </c>
      <c r="D35" s="92" t="n">
        <f aca="false">F34</f>
        <v>263380.952415787</v>
      </c>
      <c r="E35" s="92" t="n">
        <f aca="false">$P$4-J34</f>
        <v>2331.88954831211</v>
      </c>
      <c r="F35" s="92" t="n">
        <f aca="false">IF(ISNUMBER(Übersicht!E30),(D35+E35)*(1+Übersicht!E30),(D35+E35)*(1+$P$5))</f>
        <v>281655.612481945</v>
      </c>
      <c r="G35" s="92" t="n">
        <f aca="false">F35-(E35+D35)</f>
        <v>15942.7705178459</v>
      </c>
      <c r="H35" s="92" t="n">
        <f aca="false">IF(G35&gt;0,(D35+E35)*$P$8*0.7,0)</f>
        <v>1618.19120756136</v>
      </c>
      <c r="I35" s="92" t="n">
        <f aca="false">IF(G35&gt;0,MIN(G35,H35),0)</f>
        <v>1618.19120756136</v>
      </c>
      <c r="J35" s="92" t="n">
        <f aca="false">IF(I35*$P$9&gt;$P$10,(I35*$P$9-$P$10)*$P$7,0)</f>
        <v>87.4948016960166</v>
      </c>
      <c r="K35" s="112" t="n">
        <f aca="false">K34+I35</f>
        <v>20058.7343280632</v>
      </c>
    </row>
    <row r="36" customFormat="false" ht="15" hidden="false" customHeight="false" outlineLevel="0" collapsed="false">
      <c r="A36" s="110" t="n">
        <v>34</v>
      </c>
      <c r="B36" s="111" t="n">
        <f aca="false">IF(Übersicht!$C$13&gt;=A36,-Übersicht!$C$6,IF(A36=Übersicht!$C$13+1,Übersicht!$G$9,0))</f>
        <v>0</v>
      </c>
      <c r="C36" s="92" t="n">
        <f aca="false">C35+E36</f>
        <v>86345.1193742073</v>
      </c>
      <c r="D36" s="92" t="n">
        <f aca="false">F35</f>
        <v>281655.612481945</v>
      </c>
      <c r="E36" s="92" t="n">
        <f aca="false">$P$4-J35</f>
        <v>2312.50519830398</v>
      </c>
      <c r="F36" s="92" t="n">
        <f aca="false">IF(ISNUMBER(Übersicht!E31),(D36+E36)*(1+Übersicht!E31),(D36+E36)*(1+$P$5))</f>
        <v>301006.204741064</v>
      </c>
      <c r="G36" s="92" t="n">
        <f aca="false">F36-(E36+D36)</f>
        <v>17038.087060815</v>
      </c>
      <c r="H36" s="92" t="n">
        <f aca="false">IF(G36&gt;0,(D36+E36)*$P$8*0.7,0)</f>
        <v>1729.36583667272</v>
      </c>
      <c r="I36" s="92" t="n">
        <f aca="false">IF(G36&gt;0,MIN(G36,H36),0)</f>
        <v>1729.36583667272</v>
      </c>
      <c r="J36" s="92" t="n">
        <f aca="false">IF(I36*$P$9&gt;$P$10,(I36*$P$9-$P$10)*$P$7,0)</f>
        <v>108.0204175957</v>
      </c>
      <c r="K36" s="112" t="n">
        <f aca="false">K35+I36</f>
        <v>21788.1001647359</v>
      </c>
    </row>
    <row r="37" customFormat="false" ht="15" hidden="false" customHeight="false" outlineLevel="0" collapsed="false">
      <c r="A37" s="110" t="n">
        <v>35</v>
      </c>
      <c r="B37" s="111" t="n">
        <f aca="false">IF(Übersicht!$C$13&gt;=A37,-Übersicht!$C$6,IF(A37=Übersicht!$C$13+1,Übersicht!$G$9,0))</f>
        <v>0</v>
      </c>
      <c r="C37" s="92" t="n">
        <f aca="false">C36+E37</f>
        <v>88637.0989566116</v>
      </c>
      <c r="D37" s="92" t="n">
        <f aca="false">F36</f>
        <v>301006.204741064</v>
      </c>
      <c r="E37" s="92" t="n">
        <f aca="false">$P$4-J36</f>
        <v>2291.9795824043</v>
      </c>
      <c r="F37" s="92" t="n">
        <f aca="false">IF(ISNUMBER(Übersicht!E32),(D37+E37)*(1+Übersicht!E32),(D37+E37)*(1+$P$5))</f>
        <v>321496.075382876</v>
      </c>
      <c r="G37" s="92" t="n">
        <f aca="false">F37-(E37+D37)</f>
        <v>18197.8910594081</v>
      </c>
      <c r="H37" s="92" t="n">
        <f aca="false">IF(G37&gt;0,(D37+E37)*$P$8*0.7,0)</f>
        <v>1847.08594252992</v>
      </c>
      <c r="I37" s="92" t="n">
        <f aca="false">IF(G37&gt;0,MIN(G37,H37),0)</f>
        <v>1847.08594252992</v>
      </c>
      <c r="J37" s="92" t="n">
        <f aca="false">IF(I37*$P$9&gt;$P$10,(I37*$P$9-$P$10)*$P$7,0)</f>
        <v>129.754492139587</v>
      </c>
      <c r="K37" s="112" t="n">
        <f aca="false">K36+I37</f>
        <v>23635.1861072658</v>
      </c>
    </row>
    <row r="38" customFormat="false" ht="15" hidden="false" customHeight="false" outlineLevel="0" collapsed="false">
      <c r="A38" s="110" t="n">
        <v>36</v>
      </c>
      <c r="B38" s="111" t="n">
        <f aca="false">IF(Übersicht!$C$13&gt;=A38,-Übersicht!$C$6,IF(A38=Übersicht!$C$13+1,Übersicht!$G$9,0))</f>
        <v>0</v>
      </c>
      <c r="C38" s="92" t="n">
        <f aca="false">C37+E38</f>
        <v>90907.344464472</v>
      </c>
      <c r="D38" s="92" t="n">
        <f aca="false">F37</f>
        <v>321496.075382876</v>
      </c>
      <c r="E38" s="92" t="n">
        <f aca="false">$P$4-J37</f>
        <v>2270.24550786041</v>
      </c>
      <c r="F38" s="92" t="n">
        <f aca="false">IF(ISNUMBER(Übersicht!E33),(D38+E38)*(1+Übersicht!E33),(D38+E38)*(1+$P$5))</f>
        <v>343192.300144181</v>
      </c>
      <c r="G38" s="92" t="n">
        <f aca="false">F38-(E38+D38)</f>
        <v>19425.9792534442</v>
      </c>
      <c r="H38" s="92" t="n">
        <f aca="false">IF(G38&gt;0,(D38+E38)*$P$8*0.7,0)</f>
        <v>1971.73689422459</v>
      </c>
      <c r="I38" s="92" t="n">
        <f aca="false">IF(G38&gt;0,MIN(G38,H38),0)</f>
        <v>1971.73689422459</v>
      </c>
      <c r="J38" s="92" t="n">
        <f aca="false">IF(I38*$P$9&gt;$P$10,(I38*$P$9-$P$10)*$P$7,0)</f>
        <v>152.768174096214</v>
      </c>
      <c r="K38" s="112" t="n">
        <f aca="false">K37+I38</f>
        <v>25606.9230014904</v>
      </c>
    </row>
    <row r="39" customFormat="false" ht="15" hidden="false" customHeight="false" outlineLevel="0" collapsed="false">
      <c r="A39" s="110" t="n">
        <v>37</v>
      </c>
      <c r="B39" s="111" t="n">
        <f aca="false">IF(Übersicht!$C$13&gt;=A39,-Übersicht!$C$6,IF(A39=Übersicht!$C$13+1,Übersicht!$G$9,0))</f>
        <v>0</v>
      </c>
      <c r="C39" s="92" t="n">
        <f aca="false">C38+E39</f>
        <v>93154.5762903758</v>
      </c>
      <c r="D39" s="92" t="n">
        <f aca="false">F38</f>
        <v>343192.300144181</v>
      </c>
      <c r="E39" s="92" t="n">
        <f aca="false">$P$4-J38</f>
        <v>2247.23182590379</v>
      </c>
      <c r="F39" s="92" t="n">
        <f aca="false">IF(ISNUMBER(Übersicht!E34),(D39+E39)*(1+Übersicht!E34),(D39+E39)*(1+$P$5))</f>
        <v>366165.90388829</v>
      </c>
      <c r="G39" s="92" t="n">
        <f aca="false">F39-(E39+D39)</f>
        <v>20726.3719182051</v>
      </c>
      <c r="H39" s="92" t="n">
        <f aca="false">IF(G39&gt;0,(D39+E39)*$P$8*0.7,0)</f>
        <v>2103.72674969782</v>
      </c>
      <c r="I39" s="92" t="n">
        <f aca="false">IF(G39&gt;0,MIN(G39,H39),0)</f>
        <v>2103.72674969782</v>
      </c>
      <c r="J39" s="92" t="n">
        <f aca="false">IF(I39*$P$9&gt;$P$10,(I39*$P$9-$P$10)*$P$7,0)</f>
        <v>177.136801162959</v>
      </c>
      <c r="K39" s="112" t="n">
        <f aca="false">K38+I39</f>
        <v>27710.6497511883</v>
      </c>
    </row>
    <row r="40" customFormat="false" ht="15" hidden="false" customHeight="false" outlineLevel="0" collapsed="false">
      <c r="A40" s="110" t="n">
        <v>38</v>
      </c>
      <c r="B40" s="111" t="n">
        <f aca="false">IF(Übersicht!$C$13&gt;=A40,-Übersicht!$C$6,IF(A40=Übersicht!$C$13+1,Übersicht!$G$9,0))</f>
        <v>0</v>
      </c>
      <c r="C40" s="92" t="n">
        <f aca="false">C39+E40</f>
        <v>95377.4394892128</v>
      </c>
      <c r="D40" s="92" t="n">
        <f aca="false">F39</f>
        <v>366165.90388829</v>
      </c>
      <c r="E40" s="92" t="n">
        <f aca="false">$P$4-J39</f>
        <v>2222.86319883704</v>
      </c>
      <c r="F40" s="92" t="n">
        <f aca="false">IF(ISNUMBER(Übersicht!E35),(D40+E40)*(1+Übersicht!E35),(D40+E40)*(1+$P$5))</f>
        <v>390492.093112355</v>
      </c>
      <c r="G40" s="92" t="n">
        <f aca="false">F40-(E40+D40)</f>
        <v>22103.3260252276</v>
      </c>
      <c r="H40" s="92" t="n">
        <f aca="false">IF(G40&gt;0,(D40+E40)*$P$8*0.7,0)</f>
        <v>2243.4875915606</v>
      </c>
      <c r="I40" s="92" t="n">
        <f aca="false">IF(G40&gt;0,MIN(G40,H40),0)</f>
        <v>2243.4875915606</v>
      </c>
      <c r="J40" s="92" t="n">
        <f aca="false">IF(I40*$P$9&gt;$P$10,(I40*$P$9-$P$10)*$P$7,0)</f>
        <v>202.940146591876</v>
      </c>
      <c r="K40" s="112" t="n">
        <f aca="false">K39+I40</f>
        <v>29954.1373427489</v>
      </c>
    </row>
    <row r="41" customFormat="false" ht="15" hidden="false" customHeight="false" outlineLevel="0" collapsed="false">
      <c r="A41" s="110" t="n">
        <v>39</v>
      </c>
      <c r="B41" s="111" t="n">
        <f aca="false">IF(Übersicht!$C$13&gt;=A41,-Übersicht!$C$6,IF(A41=Übersicht!$C$13+1,Übersicht!$G$9,0))</f>
        <v>0</v>
      </c>
      <c r="C41" s="92" t="n">
        <f aca="false">C40+E41</f>
        <v>97574.4993426209</v>
      </c>
      <c r="D41" s="92" t="n">
        <f aca="false">F40</f>
        <v>390492.093112355</v>
      </c>
      <c r="E41" s="92" t="n">
        <f aca="false">$P$4-J40</f>
        <v>2197.05985340812</v>
      </c>
      <c r="F41" s="92" t="n">
        <f aca="false">IF(ISNUMBER(Übersicht!E36),(D41+E41)*(1+Übersicht!E36),(D41+E41)*(1+$P$5))</f>
        <v>416250.502143708</v>
      </c>
      <c r="G41" s="92" t="n">
        <f aca="false">F41-(E41+D41)</f>
        <v>23561.3491779458</v>
      </c>
      <c r="H41" s="92" t="n">
        <f aca="false">IF(G41&gt;0,(D41+E41)*$P$8*0.7,0)</f>
        <v>2391.47694156149</v>
      </c>
      <c r="I41" s="92" t="n">
        <f aca="false">IF(G41&gt;0,MIN(G41,H41),0)</f>
        <v>2391.47694156149</v>
      </c>
      <c r="J41" s="92" t="n">
        <f aca="false">IF(I41*$P$9&gt;$P$10,(I41*$P$9-$P$10)*$P$7,0)</f>
        <v>230.262680335791</v>
      </c>
      <c r="K41" s="112" t="n">
        <f aca="false">K40+I41</f>
        <v>32345.6142843103</v>
      </c>
    </row>
    <row r="42" customFormat="false" ht="15" hidden="false" customHeight="false" outlineLevel="0" collapsed="false">
      <c r="A42" s="110" t="n">
        <v>40</v>
      </c>
      <c r="B42" s="111" t="n">
        <f aca="false">IF(Übersicht!$C$13&gt;=A42,-Übersicht!$C$6,IF(A42=Übersicht!$C$13+1,Übersicht!$G$9,0))</f>
        <v>0</v>
      </c>
      <c r="C42" s="92" t="n">
        <f aca="false">C41+E42</f>
        <v>99744.2366622852</v>
      </c>
      <c r="D42" s="92" t="n">
        <f aca="false">F41</f>
        <v>416250.502143708</v>
      </c>
      <c r="E42" s="92" t="n">
        <f aca="false">$P$4-J41</f>
        <v>2169.73731966421</v>
      </c>
      <c r="F42" s="92" t="n">
        <f aca="false">IF(ISNUMBER(Übersicht!E37),(D42+E42)*(1+Übersicht!E37),(D42+E42)*(1+$P$5))</f>
        <v>443525.453831175</v>
      </c>
      <c r="G42" s="92" t="n">
        <f aca="false">F42-(E42+D42)</f>
        <v>25105.2143678024</v>
      </c>
      <c r="H42" s="92" t="n">
        <f aca="false">IF(G42&gt;0,(D42+E42)*$P$8*0.7,0)</f>
        <v>2548.17925833194</v>
      </c>
      <c r="I42" s="92" t="n">
        <f aca="false">IF(G42&gt;0,MIN(G42,H42),0)</f>
        <v>2548.17925833194</v>
      </c>
      <c r="J42" s="92" t="n">
        <f aca="false">IF(I42*$P$9&gt;$P$10,(I42*$P$9-$P$10)*$P$7,0)</f>
        <v>259.193845569534</v>
      </c>
      <c r="K42" s="112" t="n">
        <f aca="false">K41+I42</f>
        <v>34893.7935426423</v>
      </c>
    </row>
    <row r="43" customFormat="false" ht="15" hidden="false" customHeight="false" outlineLevel="0" collapsed="false">
      <c r="A43" s="110" t="n">
        <v>41</v>
      </c>
      <c r="B43" s="111" t="n">
        <f aca="false">IF(Übersicht!$C$13&gt;=A43,-Übersicht!$C$6,IF(A43=Übersicht!$C$13+1,Übersicht!$G$9,0))</f>
        <v>0</v>
      </c>
      <c r="C43" s="92" t="n">
        <f aca="false">C42+E43</f>
        <v>101885.042816716</v>
      </c>
      <c r="D43" s="92" t="n">
        <f aca="false">F42</f>
        <v>443525.453831175</v>
      </c>
      <c r="E43" s="92" t="n">
        <f aca="false">$P$4-J42</f>
        <v>2140.80615443047</v>
      </c>
      <c r="F43" s="92" t="n">
        <f aca="false">IF(ISNUMBER(Übersicht!G18),(D43+E43)*(1+Übersicht!G18),(D43+E43)*(1+$P$5))</f>
        <v>472406.235584742</v>
      </c>
      <c r="G43" s="92" t="n">
        <f aca="false">F43-(E43+D43)</f>
        <v>26739.9755991364</v>
      </c>
      <c r="H43" s="92" t="n">
        <f aca="false">IF(G43&gt;0,(D43+E43)*$P$8*0.7,0)</f>
        <v>2714.10752331234</v>
      </c>
      <c r="I43" s="92" t="n">
        <f aca="false">IF(G43&gt;0,MIN(G43,H43),0)</f>
        <v>2714.10752331234</v>
      </c>
      <c r="J43" s="92" t="n">
        <f aca="false">IF(I43*$P$9&gt;$P$10,(I43*$P$9-$P$10)*$P$7,0)</f>
        <v>289.82835149154</v>
      </c>
      <c r="K43" s="112" t="n">
        <f aca="false">K42+I43</f>
        <v>37607.9010659546</v>
      </c>
    </row>
    <row r="44" customFormat="false" ht="15" hidden="false" customHeight="false" outlineLevel="0" collapsed="false">
      <c r="A44" s="110" t="n">
        <v>42</v>
      </c>
      <c r="B44" s="111" t="n">
        <f aca="false">IF(Übersicht!$C$13&gt;=A44,-Übersicht!$C$6,IF(A44=Übersicht!$C$13+1,Übersicht!$G$9,0))</f>
        <v>0</v>
      </c>
      <c r="C44" s="92" t="n">
        <f aca="false">C43+E44</f>
        <v>103995.214465224</v>
      </c>
      <c r="D44" s="92" t="n">
        <f aca="false">F43</f>
        <v>472406.235584742</v>
      </c>
      <c r="E44" s="92" t="n">
        <f aca="false">$P$4-J43</f>
        <v>2110.17164850846</v>
      </c>
      <c r="F44" s="92" t="n">
        <f aca="false">IF(ISNUMBER(Übersicht!G19),(D44+E44)*(1+Übersicht!G19),(D44+E44)*(1+$P$5))</f>
        <v>502987.391667245</v>
      </c>
      <c r="G44" s="92" t="n">
        <f aca="false">F44-(E44+D44)</f>
        <v>28470.984433995</v>
      </c>
      <c r="H44" s="92" t="n">
        <f aca="false">IF(G44&gt;0,(D44+E44)*$P$8*0.7,0)</f>
        <v>2889.80492005049</v>
      </c>
      <c r="I44" s="92" t="n">
        <f aca="false">IF(G44&gt;0,MIN(G44,H44),0)</f>
        <v>2889.80492005049</v>
      </c>
      <c r="J44" s="92" t="n">
        <f aca="false">IF(I44*$P$9&gt;$P$10,(I44*$P$9-$P$10)*$P$7,0)</f>
        <v>322.266483364322</v>
      </c>
      <c r="K44" s="112" t="n">
        <f aca="false">K43+I44</f>
        <v>40497.7059860051</v>
      </c>
    </row>
    <row r="45" customFormat="false" ht="15" hidden="false" customHeight="false" outlineLevel="0" collapsed="false">
      <c r="A45" s="110" t="n">
        <v>43</v>
      </c>
      <c r="B45" s="111" t="n">
        <f aca="false">IF(Übersicht!$C$13&gt;=A45,-Übersicht!$C$6,IF(A45=Übersicht!$C$13+1,Übersicht!$G$9,0))</f>
        <v>0</v>
      </c>
      <c r="C45" s="92" t="n">
        <f aca="false">C44+E45</f>
        <v>106072.94798186</v>
      </c>
      <c r="D45" s="92" t="n">
        <f aca="false">F44</f>
        <v>502987.391667245</v>
      </c>
      <c r="E45" s="92" t="n">
        <f aca="false">$P$4-J44</f>
        <v>2077.73351663568</v>
      </c>
      <c r="F45" s="92" t="n">
        <f aca="false">IF(ISNUMBER(Übersicht!G20),(D45+E45)*(1+Übersicht!G20),(D45+E45)*(1+$P$5))</f>
        <v>535369.032694914</v>
      </c>
      <c r="G45" s="92" t="n">
        <f aca="false">F45-(E45+D45)</f>
        <v>30303.9075110329</v>
      </c>
      <c r="H45" s="92" t="n">
        <f aca="false">IF(G45&gt;0,(D45+E45)*$P$8*0.7,0)</f>
        <v>3075.84661236984</v>
      </c>
      <c r="I45" s="92" t="n">
        <f aca="false">IF(G45&gt;0,MIN(G45,H45),0)</f>
        <v>3075.84661236984</v>
      </c>
      <c r="J45" s="92" t="n">
        <f aca="false">IF(I45*$P$9&gt;$P$10,(I45*$P$9-$P$10)*$P$7,0)</f>
        <v>356.614430808781</v>
      </c>
      <c r="K45" s="112" t="n">
        <f aca="false">K44+I45</f>
        <v>43573.552598375</v>
      </c>
    </row>
    <row r="46" customFormat="false" ht="15" hidden="false" customHeight="false" outlineLevel="0" collapsed="false">
      <c r="A46" s="110" t="n">
        <v>44</v>
      </c>
      <c r="B46" s="111" t="n">
        <f aca="false">IF(Übersicht!$C$13&gt;=A46,-Übersicht!$C$6,IF(A46=Übersicht!$C$13+1,Übersicht!$G$9,0))</f>
        <v>0</v>
      </c>
      <c r="C46" s="92" t="n">
        <f aca="false">C45+E46</f>
        <v>108116.333551051</v>
      </c>
      <c r="D46" s="92" t="n">
        <f aca="false">F45</f>
        <v>535369.032694914</v>
      </c>
      <c r="E46" s="92" t="n">
        <f aca="false">$P$4-J45</f>
        <v>2043.38556919122</v>
      </c>
      <c r="F46" s="92" t="n">
        <f aca="false">IF(ISNUMBER(Übersicht!G21),(D46+E46)*(1+Übersicht!G21),(D46+E46)*(1+$P$5))</f>
        <v>569657.163359952</v>
      </c>
      <c r="G46" s="92" t="n">
        <f aca="false">F46-(E46+D46)</f>
        <v>32244.7450958464</v>
      </c>
      <c r="H46" s="92" t="n">
        <f aca="false">IF(G46&gt;0,(D46+E46)*$P$8*0.7,0)</f>
        <v>3272.8416272284</v>
      </c>
      <c r="I46" s="92" t="n">
        <f aca="false">IF(G46&gt;0,MIN(G46,H46),0)</f>
        <v>3272.8416272284</v>
      </c>
      <c r="J46" s="92" t="n">
        <f aca="false">IF(I46*$P$9&gt;$P$10,(I46*$P$9-$P$10)*$P$7,0)</f>
        <v>392.984635427043</v>
      </c>
      <c r="K46" s="112" t="n">
        <f aca="false">K45+I46</f>
        <v>46846.3942256034</v>
      </c>
    </row>
    <row r="47" customFormat="false" ht="15" hidden="false" customHeight="false" outlineLevel="0" collapsed="false">
      <c r="A47" s="110" t="n">
        <v>45</v>
      </c>
      <c r="B47" s="111" t="n">
        <f aca="false">IF(Übersicht!$C$13&gt;=A47,-Übersicht!$C$6,IF(A47=Übersicht!$C$13+1,Übersicht!$G$9,0))</f>
        <v>0</v>
      </c>
      <c r="C47" s="92" t="n">
        <f aca="false">C46+E47</f>
        <v>110123.348915624</v>
      </c>
      <c r="D47" s="92" t="n">
        <f aca="false">F46</f>
        <v>569657.163359952</v>
      </c>
      <c r="E47" s="92" t="n">
        <f aca="false">$P$4-J46</f>
        <v>2007.01536457296</v>
      </c>
      <c r="F47" s="92" t="n">
        <f aca="false">IF(ISNUMBER(Übersicht!G22),(D47+E47)*(1+Übersicht!G22),(D47+E47)*(1+$P$5))</f>
        <v>605964.029447996</v>
      </c>
      <c r="G47" s="92" t="n">
        <f aca="false">F47-(E47+D47)</f>
        <v>34299.8507234715</v>
      </c>
      <c r="H47" s="92" t="n">
        <f aca="false">IF(G47&gt;0,(D47+E47)*$P$8*0.7,0)</f>
        <v>3481.43484843235</v>
      </c>
      <c r="I47" s="92" t="n">
        <f aca="false">IF(G47&gt;0,MIN(G47,H47),0)</f>
        <v>3481.43484843235</v>
      </c>
      <c r="J47" s="92" t="n">
        <f aca="false">IF(I47*$P$9&gt;$P$10,(I47*$P$9-$P$10)*$P$7,0)</f>
        <v>431.496158891823</v>
      </c>
      <c r="K47" s="112" t="n">
        <f aca="false">K46+I47</f>
        <v>50327.8290740357</v>
      </c>
    </row>
    <row r="48" customFormat="false" ht="15" hidden="false" customHeight="false" outlineLevel="0" collapsed="false">
      <c r="A48" s="110" t="n">
        <v>46</v>
      </c>
      <c r="B48" s="111" t="n">
        <f aca="false">IF(Übersicht!$C$13&gt;=A48,-Übersicht!$C$6,IF(A48=Übersicht!$C$13+1,Übersicht!$G$9,0))</f>
        <v>0</v>
      </c>
      <c r="C48" s="92" t="n">
        <f aca="false">C47+E48</f>
        <v>112091.852756732</v>
      </c>
      <c r="D48" s="92" t="n">
        <f aca="false">F47</f>
        <v>605964.029447996</v>
      </c>
      <c r="E48" s="92" t="n">
        <f aca="false">$P$4-J47</f>
        <v>1968.50384110818</v>
      </c>
      <c r="F48" s="92" t="n">
        <f aca="false">IF(ISNUMBER(Übersicht!G23),(D48+E48)*(1+Übersicht!G23),(D48+E48)*(1+$P$5))</f>
        <v>644408.48528645</v>
      </c>
      <c r="G48" s="92" t="n">
        <f aca="false">F48-(E48+D48)</f>
        <v>36475.9519973462</v>
      </c>
      <c r="H48" s="92" t="n">
        <f aca="false">IF(G48&gt;0,(D48+E48)*$P$8*0.7,0)</f>
        <v>3702.30912773064</v>
      </c>
      <c r="I48" s="92" t="n">
        <f aca="false">IF(G48&gt;0,MIN(G48,H48),0)</f>
        <v>3702.30912773064</v>
      </c>
      <c r="J48" s="92" t="n">
        <f aca="false">IF(I48*$P$9&gt;$P$10,(I48*$P$9-$P$10)*$P$7,0)</f>
        <v>472.27507270727</v>
      </c>
      <c r="K48" s="112" t="n">
        <f aca="false">K47+I48</f>
        <v>54030.1382017664</v>
      </c>
    </row>
    <row r="49" customFormat="false" ht="15" hidden="false" customHeight="false" outlineLevel="0" collapsed="false">
      <c r="A49" s="110" t="n">
        <v>47</v>
      </c>
      <c r="B49" s="111" t="n">
        <f aca="false">IF(Übersicht!$C$13&gt;=A49,-Übersicht!$C$6,IF(A49=Übersicht!$C$13+1,Übersicht!$G$9,0))</f>
        <v>0</v>
      </c>
      <c r="C49" s="92" t="n">
        <f aca="false">C48+E49</f>
        <v>114019.577684025</v>
      </c>
      <c r="D49" s="92" t="n">
        <f aca="false">F48</f>
        <v>644408.48528645</v>
      </c>
      <c r="E49" s="92" t="n">
        <f aca="false">$P$4-J48</f>
        <v>1927.72492729273</v>
      </c>
      <c r="F49" s="92" t="n">
        <f aca="false">IF(ISNUMBER(Übersicht!G24),(D49+E49)*(1+Übersicht!G24),(D49+E49)*(1+$P$5))</f>
        <v>685116.382826568</v>
      </c>
      <c r="G49" s="92" t="n">
        <f aca="false">F49-(E49+D49)</f>
        <v>38780.1726128246</v>
      </c>
      <c r="H49" s="92" t="n">
        <f aca="false">IF(G49&gt;0,(D49+E49)*$P$8*0.7,0)</f>
        <v>3936.18752020169</v>
      </c>
      <c r="I49" s="92" t="n">
        <f aca="false">IF(G49&gt;0,MIN(G49,H49),0)</f>
        <v>3936.18752020169</v>
      </c>
      <c r="J49" s="92" t="n">
        <f aca="false">IF(I49*$P$9&gt;$P$10,(I49*$P$9-$P$10)*$P$7,0)</f>
        <v>515.454870917238</v>
      </c>
      <c r="K49" s="112" t="n">
        <f aca="false">K48+I49</f>
        <v>57966.3257219681</v>
      </c>
    </row>
    <row r="50" customFormat="false" ht="15" hidden="false" customHeight="false" outlineLevel="0" collapsed="false">
      <c r="A50" s="110" t="n">
        <v>48</v>
      </c>
      <c r="B50" s="111" t="n">
        <f aca="false">IF(Übersicht!$C$13&gt;=A50,-Übersicht!$C$6,IF(A50=Übersicht!$C$13+1,Übersicht!$G$9,0))</f>
        <v>0</v>
      </c>
      <c r="C50" s="92" t="n">
        <f aca="false">C49+E50</f>
        <v>115904.122813108</v>
      </c>
      <c r="D50" s="92" t="n">
        <f aca="false">F49</f>
        <v>685116.382826568</v>
      </c>
      <c r="E50" s="92" t="n">
        <f aca="false">$P$4-J49</f>
        <v>1884.54512908276</v>
      </c>
      <c r="F50" s="92" t="n">
        <f aca="false">IF(ISNUMBER(Übersicht!G25),(D50+E50)*(1+Übersicht!G25),(D50+E50)*(1+$P$5))</f>
        <v>728220.98363299</v>
      </c>
      <c r="G50" s="92" t="n">
        <f aca="false">F50-(E50+D50)</f>
        <v>41220.0556773391</v>
      </c>
      <c r="H50" s="92" t="n">
        <f aca="false">IF(G50&gt;0,(D50+E50)*$P$8*0.7,0)</f>
        <v>4183.83565124991</v>
      </c>
      <c r="I50" s="92" t="n">
        <f aca="false">IF(G50&gt;0,MIN(G50,H50),0)</f>
        <v>4183.83565124991</v>
      </c>
      <c r="J50" s="92" t="n">
        <f aca="false">IF(I50*$P$9&gt;$P$10,(I50*$P$9-$P$10)*$P$7,0)</f>
        <v>561.176907112015</v>
      </c>
      <c r="K50" s="112" t="n">
        <f aca="false">K49+I50</f>
        <v>62150.161373218</v>
      </c>
    </row>
    <row r="51" customFormat="false" ht="15" hidden="false" customHeight="false" outlineLevel="0" collapsed="false">
      <c r="A51" s="110" t="n">
        <v>49</v>
      </c>
      <c r="B51" s="111" t="n">
        <f aca="false">IF(Übersicht!$C$13&gt;=A51,-Übersicht!$C$6,IF(A51=Übersicht!$C$13+1,Übersicht!$G$9,0))</f>
        <v>0</v>
      </c>
      <c r="C51" s="92" t="n">
        <f aca="false">C50+E51</f>
        <v>117742.945905996</v>
      </c>
      <c r="D51" s="92" t="n">
        <f aca="false">F50</f>
        <v>728220.98363299</v>
      </c>
      <c r="E51" s="92" t="n">
        <f aca="false">$P$4-J50</f>
        <v>1838.82309288799</v>
      </c>
      <c r="F51" s="92" t="n">
        <f aca="false">IF(ISNUMBER(Übersicht!G26),(D51+E51)*(1+Übersicht!G26),(D51+E51)*(1+$P$5))</f>
        <v>773863.39512943</v>
      </c>
      <c r="G51" s="92" t="n">
        <f aca="false">F51-(E51+D51)</f>
        <v>43803.5884035527</v>
      </c>
      <c r="H51" s="92" t="n">
        <f aca="false">IF(G51&gt;0,(D51+E51)*$P$8*0.7,0)</f>
        <v>4446.06422296059</v>
      </c>
      <c r="I51" s="92" t="n">
        <f aca="false">IF(G51&gt;0,MIN(G51,H51),0)</f>
        <v>4446.06422296059</v>
      </c>
      <c r="J51" s="92" t="n">
        <f aca="false">IF(I51*$P$9&gt;$P$10,(I51*$P$9-$P$10)*$P$7,0)</f>
        <v>609.590857164099</v>
      </c>
      <c r="K51" s="112" t="n">
        <f aca="false">K50+I51</f>
        <v>66596.2255961786</v>
      </c>
    </row>
    <row r="52" customFormat="false" ht="15" hidden="false" customHeight="false" outlineLevel="0" collapsed="false">
      <c r="A52" s="110" t="n">
        <v>50</v>
      </c>
      <c r="B52" s="111" t="n">
        <f aca="false">IF(Übersicht!$C$13&gt;=A52,-Übersicht!$C$6,IF(A52=Übersicht!$C$13+1,Übersicht!$G$9,0))</f>
        <v>0</v>
      </c>
      <c r="C52" s="92" t="n">
        <f aca="false">C51+E52</f>
        <v>119533.355048831</v>
      </c>
      <c r="D52" s="92" t="n">
        <f aca="false">F51</f>
        <v>773863.39512943</v>
      </c>
      <c r="E52" s="92" t="n">
        <f aca="false">$P$4-J51</f>
        <v>1790.4091428359</v>
      </c>
      <c r="F52" s="92" t="n">
        <f aca="false">IF(ISNUMBER(Übersicht!G27),(D52+E52)*(1+Übersicht!G27),(D52+E52)*(1+$P$5))</f>
        <v>822193.032528602</v>
      </c>
      <c r="G52" s="92" t="n">
        <f aca="false">F52-(E52+D52)</f>
        <v>46539.2282563361</v>
      </c>
      <c r="H52" s="92" t="n">
        <f aca="false">IF(G52&gt;0,(D52+E52)*$P$8*0.7,0)</f>
        <v>4723.7316680181</v>
      </c>
      <c r="I52" s="92" t="n">
        <f aca="false">IF(G52&gt;0,MIN(G52,H52),0)</f>
        <v>4723.7316680181</v>
      </c>
      <c r="J52" s="92" t="n">
        <f aca="false">IF(I52*$P$9&gt;$P$10,(I52*$P$9-$P$10)*$P$7,0)</f>
        <v>660.855209207842</v>
      </c>
      <c r="K52" s="112" t="n">
        <f aca="false">K51+I52</f>
        <v>71319.9572641967</v>
      </c>
    </row>
    <row r="53" customFormat="false" ht="15" hidden="false" customHeight="false" outlineLevel="0" collapsed="false">
      <c r="A53" s="110" t="n">
        <v>51</v>
      </c>
      <c r="B53" s="111" t="n">
        <f aca="false">IF(Übersicht!$C$13&gt;=A53,-Übersicht!$C$6,IF(A53=Übersicht!$C$13+1,Übersicht!$G$9,0))</f>
        <v>0</v>
      </c>
      <c r="C53" s="92" t="n">
        <f aca="false">C52+E53</f>
        <v>121272.499839624</v>
      </c>
      <c r="D53" s="92" t="n">
        <f aca="false">F52</f>
        <v>822193.032528602</v>
      </c>
      <c r="E53" s="92" t="n">
        <f aca="false">$P$4-J52</f>
        <v>1739.14479079216</v>
      </c>
      <c r="F53" s="92" t="n">
        <f aca="false">IF(ISNUMBER(Übersicht!G28),(D53+E53)*(1+Übersicht!G28),(D53+E53)*(1+$P$5))</f>
        <v>873368.107958558</v>
      </c>
      <c r="G53" s="92" t="n">
        <f aca="false">F53-(E53+D53)</f>
        <v>49435.9306391637</v>
      </c>
      <c r="H53" s="92" t="n">
        <f aca="false">IF(G53&gt;0,(D53+E53)*$P$8*0.7,0)</f>
        <v>5017.74695987511</v>
      </c>
      <c r="I53" s="92" t="n">
        <f aca="false">IF(G53&gt;0,MIN(G53,H53),0)</f>
        <v>5017.74695987511</v>
      </c>
      <c r="J53" s="92" t="n">
        <f aca="false">IF(I53*$P$9&gt;$P$10,(I53*$P$9-$P$10)*$P$7,0)</f>
        <v>715.137782466942</v>
      </c>
      <c r="K53" s="112" t="n">
        <f aca="false">K52+I53</f>
        <v>76337.7042240718</v>
      </c>
    </row>
    <row r="54" customFormat="false" ht="15" hidden="false" customHeight="false" outlineLevel="0" collapsed="false">
      <c r="A54" s="110" t="n">
        <v>52</v>
      </c>
      <c r="B54" s="111" t="n">
        <f aca="false">IF(Übersicht!$C$13&gt;=A54,-Übersicht!$C$6,IF(A54=Übersicht!$C$13+1,Übersicht!$G$9,0))</f>
        <v>0</v>
      </c>
      <c r="C54" s="92" t="n">
        <f aca="false">C53+E54</f>
        <v>122957.362057157</v>
      </c>
      <c r="D54" s="92" t="n">
        <f aca="false">F53</f>
        <v>873368.107958558</v>
      </c>
      <c r="E54" s="92" t="n">
        <f aca="false">$P$4-J53</f>
        <v>1684.86221753306</v>
      </c>
      <c r="F54" s="92" t="n">
        <f aca="false">IF(ISNUMBER(Übersicht!G29),(D54+E54)*(1+Übersicht!G29),(D54+E54)*(1+$P$5))</f>
        <v>927556.148386657</v>
      </c>
      <c r="G54" s="92" t="n">
        <f aca="false">F54-(E54+D54)</f>
        <v>52503.1782105655</v>
      </c>
      <c r="H54" s="92" t="n">
        <f aca="false">IF(G54&gt;0,(D54+E54)*$P$8*0.7,0)</f>
        <v>5329.07258837239</v>
      </c>
      <c r="I54" s="92" t="n">
        <f aca="false">IF(G54&gt;0,MIN(G54,H54),0)</f>
        <v>5329.07258837239</v>
      </c>
      <c r="J54" s="92" t="n">
        <f aca="false">IF(I54*$P$9&gt;$P$10,(I54*$P$9-$P$10)*$P$7,0)</f>
        <v>772.616276628253</v>
      </c>
      <c r="K54" s="112" t="n">
        <f aca="false">K53+I54</f>
        <v>81666.7768124442</v>
      </c>
    </row>
    <row r="55" customFormat="false" ht="15" hidden="false" customHeight="false" outlineLevel="0" collapsed="false">
      <c r="A55" s="110" t="n">
        <v>53</v>
      </c>
      <c r="B55" s="111" t="n">
        <f aca="false">IF(Übersicht!$C$13&gt;=A55,-Übersicht!$C$6,IF(A55=Übersicht!$C$13+1,Übersicht!$G$9,0))</f>
        <v>0</v>
      </c>
      <c r="C55" s="92" t="n">
        <f aca="false">C54+E55</f>
        <v>124584.745780528</v>
      </c>
      <c r="D55" s="92" t="n">
        <f aca="false">F54</f>
        <v>927556.148386657</v>
      </c>
      <c r="E55" s="92" t="n">
        <f aca="false">$P$4-J54</f>
        <v>1627.38372337175</v>
      </c>
      <c r="F55" s="92" t="n">
        <f aca="false">IF(ISNUMBER(Übersicht!G30),(D55+E55)*(1+Übersicht!G30),(D55+E55)*(1+$P$5))</f>
        <v>984934.54403663</v>
      </c>
      <c r="G55" s="92" t="n">
        <f aca="false">F55-(E55+D55)</f>
        <v>55751.0119266018</v>
      </c>
      <c r="H55" s="92" t="n">
        <f aca="false">IF(G55&gt;0,(D55+E55)*$P$8*0.7,0)</f>
        <v>5658.72771055007</v>
      </c>
      <c r="I55" s="92" t="n">
        <f aca="false">IF(G55&gt;0,MIN(G55,H55),0)</f>
        <v>5658.72771055007</v>
      </c>
      <c r="J55" s="92" t="n">
        <f aca="false">IF(I55*$P$9&gt;$P$10,(I55*$P$9-$P$10)*$P$7,0)</f>
        <v>833.478853560307</v>
      </c>
      <c r="K55" s="112" t="n">
        <f aca="false">K54+I55</f>
        <v>87325.5045229942</v>
      </c>
    </row>
    <row r="56" customFormat="false" ht="15" hidden="false" customHeight="false" outlineLevel="0" collapsed="false">
      <c r="A56" s="110" t="n">
        <v>54</v>
      </c>
      <c r="B56" s="111" t="n">
        <f aca="false">IF(Übersicht!$C$13&gt;=A56,-Übersicht!$C$6,IF(A56=Übersicht!$C$13+1,Übersicht!$G$9,0))</f>
        <v>0</v>
      </c>
      <c r="C56" s="92" t="n">
        <f aca="false">C55+E56</f>
        <v>126151.266926968</v>
      </c>
      <c r="D56" s="92" t="n">
        <f aca="false">F55</f>
        <v>984934.54403663</v>
      </c>
      <c r="E56" s="92" t="n">
        <f aca="false">$P$4-J55</f>
        <v>1566.52114643969</v>
      </c>
      <c r="F56" s="92" t="n">
        <f aca="false">IF(ISNUMBER(Übersicht!G31),(D56+E56)*(1+Übersicht!G31),(D56+E56)*(1+$P$5))</f>
        <v>1045691.12909405</v>
      </c>
      <c r="G56" s="92" t="n">
        <f aca="false">F56-(E56+D56)</f>
        <v>59190.0639109842</v>
      </c>
      <c r="H56" s="92" t="n">
        <f aca="false">IF(G56&gt;0,(D56+E56)*$P$8*0.7,0)</f>
        <v>6007.7914869649</v>
      </c>
      <c r="I56" s="92" t="n">
        <f aca="false">IF(G56&gt;0,MIN(G56,H56),0)</f>
        <v>6007.7914869649</v>
      </c>
      <c r="J56" s="92" t="n">
        <f aca="false">IF(I56*$P$9&gt;$P$10,(I56*$P$9-$P$10)*$P$7,0)</f>
        <v>897.924753280894</v>
      </c>
      <c r="K56" s="112" t="n">
        <f aca="false">K55+I56</f>
        <v>93333.2960099591</v>
      </c>
    </row>
    <row r="57" customFormat="false" ht="15" hidden="false" customHeight="false" outlineLevel="0" collapsed="false">
      <c r="A57" s="110" t="n">
        <v>55</v>
      </c>
      <c r="B57" s="111" t="n">
        <f aca="false">IF(Übersicht!$C$13&gt;=A57,-Übersicht!$C$6,IF(A57=Übersicht!$C$13+1,Übersicht!$G$9,0))</f>
        <v>0</v>
      </c>
      <c r="C57" s="92" t="n">
        <f aca="false">C56+E57</f>
        <v>127653.342173687</v>
      </c>
      <c r="D57" s="92" t="n">
        <f aca="false">F56</f>
        <v>1045691.12909405</v>
      </c>
      <c r="E57" s="92" t="n">
        <f aca="false">$P$4-J56</f>
        <v>1502.07524671911</v>
      </c>
      <c r="F57" s="92" t="n">
        <f aca="false">IF(ISNUMBER(Übersicht!G32),(D57+E57)*(1+Übersicht!G32),(D57+E57)*(1+$P$5))</f>
        <v>1110024.79660122</v>
      </c>
      <c r="G57" s="92" t="n">
        <f aca="false">F57-(E57+D57)</f>
        <v>62831.5922604465</v>
      </c>
      <c r="H57" s="92" t="n">
        <f aca="false">IF(G57&gt;0,(D57+E57)*$P$8*0.7,0)</f>
        <v>6377.40661443531</v>
      </c>
      <c r="I57" s="92" t="n">
        <f aca="false">IF(G57&gt;0,MIN(G57,H57),0)</f>
        <v>6377.40661443531</v>
      </c>
      <c r="J57" s="92" t="n">
        <f aca="false">IF(I57*$P$9&gt;$P$10,(I57*$P$9-$P$10)*$P$7,0)</f>
        <v>966.164946190118</v>
      </c>
      <c r="K57" s="112" t="n">
        <f aca="false">K56+I57</f>
        <v>99710.7026243944</v>
      </c>
    </row>
    <row r="58" customFormat="false" ht="15" hidden="false" customHeight="false" outlineLevel="0" collapsed="false">
      <c r="A58" s="110" t="n">
        <v>56</v>
      </c>
      <c r="B58" s="111" t="n">
        <f aca="false">IF(Übersicht!$C$13&gt;=A58,-Übersicht!$C$6,IF(A58=Übersicht!$C$13+1,Übersicht!$G$9,0))</f>
        <v>0</v>
      </c>
      <c r="C58" s="92" t="n">
        <f aca="false">C57+E58</f>
        <v>129087.177227497</v>
      </c>
      <c r="D58" s="92" t="n">
        <f aca="false">F57</f>
        <v>1110024.79660122</v>
      </c>
      <c r="E58" s="92" t="n">
        <f aca="false">$P$4-J57</f>
        <v>1433.83505380988</v>
      </c>
      <c r="F58" s="92" t="n">
        <f aca="false">IF(ISNUMBER(Übersicht!G33),(D58+E58)*(1+Übersicht!G33),(D58+E58)*(1+$P$5))</f>
        <v>1178146.14955433</v>
      </c>
      <c r="G58" s="92" t="n">
        <f aca="false">F58-(E58+D58)</f>
        <v>66687.5178993018</v>
      </c>
      <c r="H58" s="92" t="n">
        <f aca="false">IF(G58&gt;0,(D58+E58)*$P$8*0.7,0)</f>
        <v>6768.78306677913</v>
      </c>
      <c r="I58" s="92" t="n">
        <f aca="false">IF(G58&gt;0,MIN(G58,H58),0)</f>
        <v>6768.78306677913</v>
      </c>
      <c r="J58" s="92" t="n">
        <f aca="false">IF(I58*$P$9&gt;$P$10,(I58*$P$9-$P$10)*$P$7,0)</f>
        <v>1038.4228237041</v>
      </c>
      <c r="K58" s="112" t="n">
        <f aca="false">K57+I58</f>
        <v>106479.485691174</v>
      </c>
    </row>
    <row r="59" customFormat="false" ht="15" hidden="false" customHeight="false" outlineLevel="0" collapsed="false">
      <c r="A59" s="110" t="n">
        <v>57</v>
      </c>
      <c r="B59" s="111" t="n">
        <f aca="false">IF(Übersicht!$C$13&gt;=A59,-Übersicht!$C$6,IF(A59=Übersicht!$C$13+1,Übersicht!$G$9,0))</f>
        <v>0</v>
      </c>
      <c r="C59" s="92" t="n">
        <f aca="false">C58+E59</f>
        <v>130448.754403793</v>
      </c>
      <c r="D59" s="92" t="n">
        <f aca="false">F58</f>
        <v>1178146.14955433</v>
      </c>
      <c r="E59" s="92" t="n">
        <f aca="false">$P$4-J58</f>
        <v>1361.5771762959</v>
      </c>
      <c r="F59" s="92" t="n">
        <f aca="false">IF(ISNUMBER(Übersicht!G34),(D59+E59)*(1+Übersicht!G34),(D59+E59)*(1+$P$5))</f>
        <v>1250278.19033446</v>
      </c>
      <c r="G59" s="92" t="n">
        <f aca="false">F59-(E59+D59)</f>
        <v>70770.4636038377</v>
      </c>
      <c r="H59" s="92" t="n">
        <f aca="false">IF(G59&gt;0,(D59+E59)*$P$8*0.7,0)</f>
        <v>7183.20205578952</v>
      </c>
      <c r="I59" s="92" t="n">
        <f aca="false">IF(G59&gt;0,MIN(G59,H59),0)</f>
        <v>7183.20205578952</v>
      </c>
      <c r="J59" s="92" t="n">
        <f aca="false">IF(I59*$P$9&gt;$P$10,(I59*$P$9-$P$10)*$P$7,0)</f>
        <v>1114.93492955014</v>
      </c>
      <c r="K59" s="112" t="n">
        <f aca="false">K58+I59</f>
        <v>113662.687746963</v>
      </c>
    </row>
    <row r="60" customFormat="false" ht="15" hidden="false" customHeight="false" outlineLevel="0" collapsed="false">
      <c r="A60" s="110" t="n">
        <v>58</v>
      </c>
      <c r="B60" s="111" t="n">
        <f aca="false">IF(Übersicht!$C$13&gt;=A60,-Übersicht!$C$6,IF(A60=Übersicht!$C$13+1,Übersicht!$G$9,0))</f>
        <v>0</v>
      </c>
      <c r="C60" s="92" t="n">
        <f aca="false">C59+E60</f>
        <v>131733.819474243</v>
      </c>
      <c r="D60" s="92" t="n">
        <f aca="false">F59</f>
        <v>1250278.19033446</v>
      </c>
      <c r="E60" s="92" t="n">
        <f aca="false">$P$4-J59</f>
        <v>1285.06507044986</v>
      </c>
      <c r="F60" s="92" t="n">
        <f aca="false">IF(ISNUMBER(Übersicht!G35),(D60+E60)*(1+Übersicht!G35),(D60+E60)*(1+$P$5))</f>
        <v>1326657.05072921</v>
      </c>
      <c r="G60" s="92" t="n">
        <f aca="false">F60-(E60+D60)</f>
        <v>75093.7953242951</v>
      </c>
      <c r="H60" s="92" t="n">
        <f aca="false">IF(G60&gt;0,(D60+E60)*$P$8*0.7,0)</f>
        <v>7622.02022541593</v>
      </c>
      <c r="I60" s="92" t="n">
        <f aca="false">IF(G60&gt;0,MIN(G60,H60),0)</f>
        <v>7622.02022541593</v>
      </c>
      <c r="J60" s="92" t="n">
        <f aca="false">IF(I60*$P$9&gt;$P$10,(I60*$P$9-$P$10)*$P$7,0)</f>
        <v>1195.95173411742</v>
      </c>
      <c r="K60" s="112" t="n">
        <f aca="false">K59+I60</f>
        <v>121284.707972379</v>
      </c>
    </row>
    <row r="61" customFormat="false" ht="15" hidden="false" customHeight="false" outlineLevel="0" collapsed="false">
      <c r="A61" s="110" t="n">
        <v>59</v>
      </c>
      <c r="B61" s="111" t="n">
        <f aca="false">IF(Übersicht!$C$13&gt;=A61,-Übersicht!$C$6,IF(A61=Übersicht!$C$13+1,Übersicht!$G$9,0))</f>
        <v>0</v>
      </c>
      <c r="C61" s="92" t="n">
        <f aca="false">C60+E61</f>
        <v>132937.867740125</v>
      </c>
      <c r="D61" s="92" t="n">
        <f aca="false">F60</f>
        <v>1326657.05072921</v>
      </c>
      <c r="E61" s="92" t="n">
        <f aca="false">$P$4-J60</f>
        <v>1204.04826588258</v>
      </c>
      <c r="F61" s="92" t="n">
        <f aca="false">IF(ISNUMBER(Übersicht!G36),(D61+E61)*(1+Übersicht!G36),(D61+E61)*(1+$P$5))</f>
        <v>1407532.7649348</v>
      </c>
      <c r="G61" s="92" t="n">
        <f aca="false">F61-(E61+D61)</f>
        <v>79671.6659397057</v>
      </c>
      <c r="H61" s="92" t="n">
        <f aca="false">IF(G61&gt;0,(D61+E61)*$P$8*0.7,0)</f>
        <v>8086.67409288011</v>
      </c>
      <c r="I61" s="92" t="n">
        <f aca="false">IF(G61&gt;0,MIN(G61,H61),0)</f>
        <v>8086.67409288011</v>
      </c>
      <c r="J61" s="92" t="n">
        <f aca="false">IF(I61*$P$9&gt;$P$10,(I61*$P$9-$P$10)*$P$7,0)</f>
        <v>1281.73845439799</v>
      </c>
      <c r="K61" s="112" t="n">
        <f aca="false">K60+I61</f>
        <v>129371.382065259</v>
      </c>
    </row>
    <row r="62" customFormat="false" ht="15" hidden="false" customHeight="false" outlineLevel="0" collapsed="false">
      <c r="A62" s="110" t="n">
        <v>60</v>
      </c>
      <c r="B62" s="111" t="n">
        <f aca="false">IF(Übersicht!$C$13&gt;=A62,-Übersicht!$C$6,IF(A62=Übersicht!$C$13+1,Übersicht!$G$9,0))</f>
        <v>0</v>
      </c>
      <c r="C62" s="92" t="n">
        <f aca="false">C61+E62</f>
        <v>134056.129285727</v>
      </c>
      <c r="D62" s="92" t="n">
        <f aca="false">F61</f>
        <v>1407532.7649348</v>
      </c>
      <c r="E62" s="92" t="n">
        <f aca="false">$P$4-J61</f>
        <v>1118.26154560201</v>
      </c>
      <c r="F62" s="92" t="n">
        <f aca="false">IF(ISNUMBER(Übersicht!G37),(D62+E62)*(1+Übersicht!G37),(D62+E62)*(1+$P$5))</f>
        <v>1493170.08806922</v>
      </c>
      <c r="G62" s="92" t="n">
        <f aca="false">F62-(E62+D62)</f>
        <v>84519.061588824</v>
      </c>
      <c r="H62" s="92" t="n">
        <f aca="false">IF(G62&gt;0,(D62+E62)*$P$8*0.7,0)</f>
        <v>8578.68475126564</v>
      </c>
      <c r="I62" s="92" t="n">
        <f aca="false">IF(G62&gt;0,MIN(G62,H62),0)</f>
        <v>8578.68475126564</v>
      </c>
      <c r="J62" s="92" t="n">
        <f aca="false">IF(I62*$P$9&gt;$P$10,(I62*$P$9-$P$10)*$P$7,0)</f>
        <v>1372.57592220242</v>
      </c>
      <c r="K62" s="112" t="n">
        <f aca="false">K61+I62</f>
        <v>137950.066816525</v>
      </c>
    </row>
    <row r="63" customFormat="false" ht="15" hidden="false" customHeight="false" outlineLevel="0" collapsed="false">
      <c r="A63" s="110" t="n">
        <v>61</v>
      </c>
      <c r="B63" s="111" t="n">
        <f aca="false">IF(Übersicht!$C$13&gt;=A63,-Übersicht!$C$6,IF(A63=Übersicht!$C$13+1,Übersicht!$G$9,0))</f>
        <v>0</v>
      </c>
      <c r="C63" s="92" t="n">
        <f aca="false">C62+E63</f>
        <v>135083.553363525</v>
      </c>
      <c r="D63" s="92" t="n">
        <f aca="false">F62</f>
        <v>1493170.08806922</v>
      </c>
      <c r="E63" s="92" t="n">
        <f aca="false">$P$4-J62</f>
        <v>1027.42407779758</v>
      </c>
      <c r="F63" s="92" t="n">
        <f aca="false">IF(ISNUMBER(Übersicht!I18),(D63+E63)*(1+Übersicht!I18),(D63+E63)*(1+$P$5))</f>
        <v>1583849.36287584</v>
      </c>
      <c r="G63" s="92" t="n">
        <f aca="false">F63-(E63+D63)</f>
        <v>89651.8507288215</v>
      </c>
      <c r="H63" s="92" t="n">
        <f aca="false">IF(G63&gt;0,(D63+E63)*$P$8*0.7,0)</f>
        <v>9099.66284897536</v>
      </c>
      <c r="I63" s="92" t="n">
        <f aca="false">IF(G63&gt;0,MIN(G63,H63),0)</f>
        <v>9099.66284897536</v>
      </c>
      <c r="J63" s="92" t="n">
        <f aca="false">IF(I63*$P$9&gt;$P$10,(I63*$P$9-$P$10)*$P$7,0)</f>
        <v>1468.76150349208</v>
      </c>
      <c r="K63" s="112" t="n">
        <f aca="false">K62+I63</f>
        <v>147049.7296655</v>
      </c>
    </row>
    <row r="64" customFormat="false" ht="15" hidden="false" customHeight="false" outlineLevel="0" collapsed="false">
      <c r="A64" s="110" t="n">
        <v>62</v>
      </c>
      <c r="B64" s="111" t="n">
        <f aca="false">IF(Übersicht!$C$13&gt;=A64,-Übersicht!$C$6,IF(A64=Übersicht!$C$13+1,Übersicht!$G$9,0))</f>
        <v>0</v>
      </c>
      <c r="C64" s="92" t="n">
        <f aca="false">C63+E64</f>
        <v>136014.791860033</v>
      </c>
      <c r="D64" s="92" t="n">
        <f aca="false">F63</f>
        <v>1583849.36287584</v>
      </c>
      <c r="E64" s="92" t="n">
        <f aca="false">$P$4-J63</f>
        <v>931.238496507924</v>
      </c>
      <c r="F64" s="92" t="n">
        <f aca="false">IF(ISNUMBER(Übersicht!I19),(D64+E64)*(1+Übersicht!I19),(D64+E64)*(1+$P$5))</f>
        <v>1679867.43745469</v>
      </c>
      <c r="G64" s="92" t="n">
        <f aca="false">F64-(E64+D64)</f>
        <v>95086.8360823412</v>
      </c>
      <c r="H64" s="92" t="n">
        <f aca="false">IF(G64&gt;0,(D64+E64)*$P$8*0.7,0)</f>
        <v>9651.31386235762</v>
      </c>
      <c r="I64" s="92" t="n">
        <f aca="false">IF(G64&gt;0,MIN(G64,H64),0)</f>
        <v>9651.31386235762</v>
      </c>
      <c r="J64" s="92" t="n">
        <f aca="false">IF(I64*$P$9&gt;$P$10,(I64*$P$9-$P$10)*$P$7,0)</f>
        <v>1570.61007183778</v>
      </c>
      <c r="K64" s="112" t="n">
        <f aca="false">K63+I64</f>
        <v>156701.043527858</v>
      </c>
    </row>
    <row r="65" customFormat="false" ht="15" hidden="false" customHeight="false" outlineLevel="0" collapsed="false">
      <c r="A65" s="110" t="n">
        <v>63</v>
      </c>
      <c r="B65" s="111" t="n">
        <f aca="false">IF(Übersicht!$C$13&gt;=A65,-Übersicht!$C$6,IF(A65=Übersicht!$C$13+1,Übersicht!$G$9,0))</f>
        <v>0</v>
      </c>
      <c r="C65" s="92" t="n">
        <f aca="false">C64+E65</f>
        <v>136844.181788195</v>
      </c>
      <c r="D65" s="92" t="n">
        <f aca="false">F64</f>
        <v>1679867.43745469</v>
      </c>
      <c r="E65" s="92" t="n">
        <f aca="false">$P$4-J64</f>
        <v>829.389928162225</v>
      </c>
      <c r="F65" s="92" t="n">
        <f aca="false">IF(ISNUMBER(Übersicht!I20),(D65+E65)*(1+Übersicht!I20),(D65+E65)*(1+$P$5))</f>
        <v>1781538.63702583</v>
      </c>
      <c r="G65" s="92" t="n">
        <f aca="false">F65-(E65+D65)</f>
        <v>100841.809642971</v>
      </c>
      <c r="H65" s="92" t="n">
        <f aca="false">IF(G65&gt;0,(D65+E65)*$P$8*0.7,0)</f>
        <v>10235.4436787616</v>
      </c>
      <c r="I65" s="92" t="n">
        <f aca="false">IF(G65&gt;0,MIN(G65,H65),0)</f>
        <v>10235.4436787616</v>
      </c>
      <c r="J65" s="92" t="n">
        <f aca="false">IF(I65*$P$9&gt;$P$10,(I65*$P$9-$P$10)*$P$7,0)</f>
        <v>1678.45503919136</v>
      </c>
      <c r="K65" s="112" t="n">
        <f aca="false">K64+I65</f>
        <v>166936.487206619</v>
      </c>
    </row>
    <row r="66" customFormat="false" ht="15" hidden="false" customHeight="false" outlineLevel="0" collapsed="false">
      <c r="A66" s="110" t="n">
        <v>64</v>
      </c>
      <c r="B66" s="111" t="n">
        <f aca="false">IF(Übersicht!$C$13&gt;=A66,-Übersicht!$C$6,IF(A66=Übersicht!$C$13+1,Übersicht!$G$9,0))</f>
        <v>0</v>
      </c>
      <c r="C66" s="92" t="n">
        <f aca="false">C65+E66</f>
        <v>137565.726749004</v>
      </c>
      <c r="D66" s="92" t="n">
        <f aca="false">F65</f>
        <v>1781538.63702583</v>
      </c>
      <c r="E66" s="92" t="n">
        <f aca="false">$P$4-J65</f>
        <v>721.544960808643</v>
      </c>
      <c r="F66" s="92" t="n">
        <f aca="false">IF(ISNUMBER(Übersicht!I21),(D66+E66)*(1+Übersicht!I21),(D66+E66)*(1+$P$5))</f>
        <v>1889195.79290583</v>
      </c>
      <c r="G66" s="92" t="n">
        <f aca="false">F66-(E66+D66)</f>
        <v>106935.610919198</v>
      </c>
      <c r="H66" s="92" t="n">
        <f aca="false">IF(G66&gt;0,(D66+E66)*$P$8*0.7,0)</f>
        <v>10853.9645082986</v>
      </c>
      <c r="I66" s="92" t="n">
        <f aca="false">IF(G66&gt;0,MIN(G66,H66),0)</f>
        <v>10853.9645082986</v>
      </c>
      <c r="J66" s="92" t="n">
        <f aca="false">IF(I66*$P$9&gt;$P$10,(I66*$P$9-$P$10)*$P$7,0)</f>
        <v>1792.64944734463</v>
      </c>
      <c r="K66" s="112" t="n">
        <f aca="false">K65+I66</f>
        <v>177790.451714918</v>
      </c>
    </row>
    <row r="67" customFormat="false" ht="15" hidden="false" customHeight="false" outlineLevel="0" collapsed="false">
      <c r="A67" s="110" t="n">
        <v>65</v>
      </c>
      <c r="B67" s="111" t="n">
        <f aca="false">IF(Übersicht!$C$13&gt;=A67,-Übersicht!$C$6,IF(A67=Übersicht!$C$13+1,Übersicht!$G$9,0))</f>
        <v>0</v>
      </c>
      <c r="C67" s="92" t="n">
        <f aca="false">C66+E67</f>
        <v>138173.077301659</v>
      </c>
      <c r="D67" s="92" t="n">
        <f aca="false">F66</f>
        <v>1889195.79290583</v>
      </c>
      <c r="E67" s="92" t="n">
        <f aca="false">$P$4-J66</f>
        <v>607.350552655371</v>
      </c>
      <c r="F67" s="92" t="n">
        <f aca="false">IF(ISNUMBER(Übersicht!I22),(D67+E67)*(1+Übersicht!I22),(D67+E67)*(1+$P$5))</f>
        <v>2003191.332066</v>
      </c>
      <c r="G67" s="92" t="n">
        <f aca="false">F67-(E67+D67)</f>
        <v>113388.188607509</v>
      </c>
      <c r="H67" s="92" t="n">
        <f aca="false">IF(G67&gt;0,(D67+E67)*$P$8*0.7,0)</f>
        <v>11508.9011436622</v>
      </c>
      <c r="I67" s="92" t="n">
        <f aca="false">IF(G67&gt;0,MIN(G67,H67),0)</f>
        <v>11508.9011436622</v>
      </c>
      <c r="J67" s="92" t="n">
        <f aca="false">IF(I67*$P$9&gt;$P$10,(I67*$P$9-$P$10)*$P$7,0)</f>
        <v>1913.56712364863</v>
      </c>
      <c r="K67" s="112" t="n">
        <f aca="false">K66+I67</f>
        <v>189299.35285858</v>
      </c>
    </row>
    <row r="68" customFormat="false" ht="15" hidden="false" customHeight="false" outlineLevel="0" collapsed="false">
      <c r="A68" s="110" t="n">
        <v>66</v>
      </c>
      <c r="B68" s="111" t="n">
        <f aca="false">IF(Übersicht!$C$13&gt;=A68,-Übersicht!$C$6,IF(A68=Übersicht!$C$13+1,Übersicht!$G$9,0))</f>
        <v>0</v>
      </c>
      <c r="C68" s="92" t="n">
        <f aca="false">C67+E68</f>
        <v>138659.510178011</v>
      </c>
      <c r="D68" s="92" t="n">
        <f aca="false">F67</f>
        <v>2003191.332066</v>
      </c>
      <c r="E68" s="92" t="n">
        <f aca="false">$P$4-J67</f>
        <v>486.432876351368</v>
      </c>
      <c r="F68" s="92" t="n">
        <f aca="false">IF(ISNUMBER(Übersicht!I23),(D68+E68)*(1+Übersicht!I23),(D68+E68)*(1+$P$5))</f>
        <v>2123898.43083889</v>
      </c>
      <c r="G68" s="92" t="n">
        <f aca="false">F68-(E68+D68)</f>
        <v>120220.665896541</v>
      </c>
      <c r="H68" s="92" t="n">
        <f aca="false">IF(G68&gt;0,(D68+E68)*$P$8*0.7,0)</f>
        <v>12202.3975884989</v>
      </c>
      <c r="I68" s="92" t="n">
        <f aca="false">IF(G68&gt;0,MIN(G68,H68),0)</f>
        <v>12202.3975884989</v>
      </c>
      <c r="J68" s="92" t="n">
        <f aca="false">IF(I68*$P$9&gt;$P$10,(I68*$P$9-$P$10)*$P$7,0)</f>
        <v>2041.60390477661</v>
      </c>
      <c r="K68" s="112" t="n">
        <f aca="false">K67+I68</f>
        <v>201501.750447079</v>
      </c>
    </row>
    <row r="69" customFormat="false" ht="15" hidden="false" customHeight="false" outlineLevel="0" collapsed="false">
      <c r="A69" s="110" t="n">
        <v>67</v>
      </c>
      <c r="B69" s="111" t="n">
        <f aca="false">IF(Übersicht!$C$13&gt;=A69,-Übersicht!$C$6,IF(A69=Übersicht!$C$13+1,Übersicht!$G$9,0))</f>
        <v>0</v>
      </c>
      <c r="C69" s="92" t="n">
        <f aca="false">C68+E69</f>
        <v>139017.906273234</v>
      </c>
      <c r="D69" s="92" t="n">
        <f aca="false">F68</f>
        <v>2123898.43083889</v>
      </c>
      <c r="E69" s="92" t="n">
        <f aca="false">$P$4-J68</f>
        <v>358.39609522339</v>
      </c>
      <c r="F69" s="92" t="n">
        <f aca="false">IF(ISNUMBER(Übersicht!I24),(D69+E69)*(1+Übersicht!I24),(D69+E69)*(1+$P$5))</f>
        <v>2251712.23655016</v>
      </c>
      <c r="G69" s="92" t="n">
        <f aca="false">F69-(E69+D69)</f>
        <v>127455.409616047</v>
      </c>
      <c r="H69" s="92" t="n">
        <f aca="false">IF(G69&gt;0,(D69+E69)*$P$8*0.7,0)</f>
        <v>12936.7240760287</v>
      </c>
      <c r="I69" s="92" t="n">
        <f aca="false">IF(G69&gt;0,MIN(G69,H69),0)</f>
        <v>12936.7240760287</v>
      </c>
      <c r="J69" s="92" t="n">
        <f aca="false">IF(I69*$P$9&gt;$P$10,(I69*$P$9-$P$10)*$P$7,0)</f>
        <v>2177.17893253681</v>
      </c>
      <c r="K69" s="112" t="n">
        <f aca="false">K68+I69</f>
        <v>214438.474523108</v>
      </c>
    </row>
    <row r="70" customFormat="false" ht="15" hidden="false" customHeight="false" outlineLevel="0" collapsed="false">
      <c r="A70" s="110" t="n">
        <v>68</v>
      </c>
      <c r="B70" s="111" t="n">
        <f aca="false">IF(Übersicht!$C$13&gt;=A70,-Übersicht!$C$6,IF(A70=Übersicht!$C$13+1,Übersicht!$G$9,0))</f>
        <v>0</v>
      </c>
      <c r="C70" s="92" t="n">
        <f aca="false">C69+E70</f>
        <v>139240.727340697</v>
      </c>
      <c r="D70" s="92" t="n">
        <f aca="false">F69</f>
        <v>2251712.23655016</v>
      </c>
      <c r="E70" s="92" t="n">
        <f aca="false">$P$4-J69</f>
        <v>222.821067463193</v>
      </c>
      <c r="F70" s="92" t="n">
        <f aca="false">IF(ISNUMBER(Übersicht!I25),(D70+E70)*(1+Übersicht!I25),(D70+E70)*(1+$P$5))</f>
        <v>2387051.16107468</v>
      </c>
      <c r="G70" s="92" t="n">
        <f aca="false">F70-(E70+D70)</f>
        <v>135116.103457057</v>
      </c>
      <c r="H70" s="92" t="n">
        <f aca="false">IF(G70&gt;0,(D70+E70)*$P$8*0.7,0)</f>
        <v>13714.2845008913</v>
      </c>
      <c r="I70" s="92" t="n">
        <f aca="false">IF(G70&gt;0,MIN(G70,H70),0)</f>
        <v>13714.2845008913</v>
      </c>
      <c r="J70" s="92" t="n">
        <f aca="false">IF(I70*$P$9&gt;$P$10,(I70*$P$9-$P$10)*$P$7,0)</f>
        <v>2320.73602597706</v>
      </c>
      <c r="K70" s="112" t="n">
        <f aca="false">K69+I70</f>
        <v>228152.759023999</v>
      </c>
    </row>
    <row r="71" customFormat="false" ht="15" hidden="false" customHeight="false" outlineLevel="0" collapsed="false">
      <c r="A71" s="110" t="n">
        <v>69</v>
      </c>
      <c r="B71" s="111" t="n">
        <f aca="false">IF(Übersicht!$C$13&gt;=A71,-Übersicht!$C$6,IF(A71=Übersicht!$C$13+1,Übersicht!$G$9,0))</f>
        <v>0</v>
      </c>
      <c r="C71" s="92" t="n">
        <f aca="false">C70+E71</f>
        <v>139319.99131472</v>
      </c>
      <c r="D71" s="92" t="n">
        <f aca="false">F70</f>
        <v>2387051.16107468</v>
      </c>
      <c r="E71" s="92" t="n">
        <f aca="false">$P$4-J70</f>
        <v>79.2639740229397</v>
      </c>
      <c r="F71" s="92" t="n">
        <f aca="false">IF(ISNUMBER(Übersicht!I26),(D71+E71)*(1+Übersicht!I26),(D71+E71)*(1+$P$5))</f>
        <v>2530358.25055163</v>
      </c>
      <c r="G71" s="92" t="n">
        <f aca="false">F71-(E71+D71)</f>
        <v>143227.825502922</v>
      </c>
      <c r="H71" s="92" t="n">
        <f aca="false">IF(G71&gt;0,(D71+E71)*$P$8*0.7,0)</f>
        <v>14537.6242885466</v>
      </c>
      <c r="I71" s="92" t="n">
        <f aca="false">IF(G71&gt;0,MIN(G71,H71),0)</f>
        <v>14537.6242885466</v>
      </c>
      <c r="J71" s="92" t="n">
        <f aca="false">IF(I71*$P$9&gt;$P$10,(I71*$P$9-$P$10)*$P$7,0)</f>
        <v>2472.74513427292</v>
      </c>
      <c r="K71" s="112" t="n">
        <f aca="false">K70+I71</f>
        <v>242690.383312546</v>
      </c>
    </row>
    <row r="72" customFormat="false" ht="15" hidden="false" customHeight="false" outlineLevel="0" collapsed="false">
      <c r="A72" s="110" t="n">
        <v>70</v>
      </c>
      <c r="B72" s="111" t="n">
        <f aca="false">IF(Übersicht!$C$13&gt;=A72,-Übersicht!$C$6,IF(A72=Übersicht!$C$13+1,Übersicht!$G$9,0))</f>
        <v>0</v>
      </c>
      <c r="C72" s="92" t="n">
        <f aca="false">C71+E72</f>
        <v>139247.246180447</v>
      </c>
      <c r="D72" s="92" t="n">
        <f aca="false">F71</f>
        <v>2530358.25055163</v>
      </c>
      <c r="E72" s="92" t="n">
        <f aca="false">$P$4-J71</f>
        <v>-72.7451342729164</v>
      </c>
      <c r="F72" s="92" t="n">
        <f aca="false">IF(ISNUMBER(Übersicht!I27),(D72+E72)*(1+Übersicht!I27),(D72+E72)*(1+$P$5))</f>
        <v>2682102.63574239</v>
      </c>
      <c r="G72" s="92" t="n">
        <f aca="false">F72-(E72+D72)</f>
        <v>151817.130325041</v>
      </c>
      <c r="H72" s="92" t="n">
        <f aca="false">IF(G72&gt;0,(D72+E72)*$P$8*0.7,0)</f>
        <v>15409.4387279917</v>
      </c>
      <c r="I72" s="92" t="n">
        <f aca="false">IF(G72&gt;0,MIN(G72,H72),0)</f>
        <v>15409.4387279917</v>
      </c>
      <c r="J72" s="92" t="n">
        <f aca="false">IF(I72*$P$9&gt;$P$10,(I72*$P$9-$P$10)*$P$7,0)</f>
        <v>2633.70387515546</v>
      </c>
      <c r="K72" s="112" t="n">
        <f aca="false">K71+I72</f>
        <v>258099.822040537</v>
      </c>
    </row>
    <row r="73" customFormat="false" ht="15" hidden="false" customHeight="false" outlineLevel="0" collapsed="false">
      <c r="A73" s="110" t="n">
        <v>71</v>
      </c>
      <c r="B73" s="111" t="n">
        <f aca="false">IF(Übersicht!$C$13&gt;=A73,-Übersicht!$C$6,IF(A73=Übersicht!$C$13+1,Übersicht!$G$9,0))</f>
        <v>0</v>
      </c>
      <c r="C73" s="92" t="n">
        <f aca="false">C72+E73</f>
        <v>139013.542305292</v>
      </c>
      <c r="D73" s="92" t="n">
        <f aca="false">F72</f>
        <v>2682102.63574239</v>
      </c>
      <c r="E73" s="92" t="n">
        <f aca="false">$P$4-J72</f>
        <v>-233.703875155463</v>
      </c>
      <c r="F73" s="92" t="n">
        <f aca="false">IF(ISNUMBER(Übersicht!I28),(D73+E73)*(1+Übersicht!I28),(D73+E73)*(1+$P$5))</f>
        <v>2842781.06777927</v>
      </c>
      <c r="G73" s="92" t="n">
        <f aca="false">F73-(E73+D73)</f>
        <v>160912.135912035</v>
      </c>
      <c r="H73" s="92" t="n">
        <f aca="false">IF(G73&gt;0,(D73+E73)*$P$8*0.7,0)</f>
        <v>16332.5817950715</v>
      </c>
      <c r="I73" s="92" t="n">
        <f aca="false">IF(G73&gt;0,MIN(G73,H73),0)</f>
        <v>16332.5817950715</v>
      </c>
      <c r="J73" s="92" t="n">
        <f aca="false">IF(I73*$P$9&gt;$P$10,(I73*$P$9-$P$10)*$P$7,0)</f>
        <v>2804.13916391507</v>
      </c>
      <c r="K73" s="112" t="n">
        <f aca="false">K72+I73</f>
        <v>274432.403835609</v>
      </c>
    </row>
    <row r="74" customFormat="false" ht="15" hidden="false" customHeight="false" outlineLevel="0" collapsed="false">
      <c r="A74" s="110" t="n">
        <v>72</v>
      </c>
      <c r="B74" s="111" t="n">
        <f aca="false">IF(Übersicht!$C$13&gt;=A74,-Übersicht!$C$6,IF(A74=Übersicht!$C$13+1,Übersicht!$G$9,0))</f>
        <v>0</v>
      </c>
      <c r="C74" s="92" t="n">
        <f aca="false">C73+E74</f>
        <v>138609.403141377</v>
      </c>
      <c r="D74" s="92" t="n">
        <f aca="false">F73</f>
        <v>2842781.06777927</v>
      </c>
      <c r="E74" s="92" t="n">
        <f aca="false">$P$4-J73</f>
        <v>-404.139163915072</v>
      </c>
      <c r="F74" s="92" t="n">
        <f aca="false">IF(ISNUMBER(Übersicht!I29),(D74+E74)*(1+Übersicht!I29),(D74+E74)*(1+$P$5))</f>
        <v>3012919.54433228</v>
      </c>
      <c r="G74" s="92" t="n">
        <f aca="false">F74-(E74+D74)</f>
        <v>170542.615716922</v>
      </c>
      <c r="H74" s="92" t="n">
        <f aca="false">IF(G74&gt;0,(D74+E74)*$P$8*0.7,0)</f>
        <v>17310.0754952675</v>
      </c>
      <c r="I74" s="92" t="n">
        <f aca="false">IF(G74&gt;0,MIN(G74,H74),0)</f>
        <v>17310.0754952675</v>
      </c>
      <c r="J74" s="92" t="n">
        <f aca="false">IF(I74*$P$9&gt;$P$10,(I74*$P$9-$P$10)*$P$7,0)</f>
        <v>2984.60893831377</v>
      </c>
      <c r="K74" s="112" t="n">
        <f aca="false">K73+I74</f>
        <v>291742.479330876</v>
      </c>
    </row>
    <row r="75" customFormat="false" ht="15" hidden="false" customHeight="false" outlineLevel="0" collapsed="false">
      <c r="A75" s="110" t="n">
        <v>73</v>
      </c>
      <c r="B75" s="111" t="n">
        <f aca="false">IF(Übersicht!$C$13&gt;=A75,-Übersicht!$C$6,IF(A75=Übersicht!$C$13+1,Übersicht!$G$9,0))</f>
        <v>0</v>
      </c>
      <c r="C75" s="92" t="n">
        <f aca="false">C74+E75</f>
        <v>138024.794203063</v>
      </c>
      <c r="D75" s="92" t="n">
        <f aca="false">F74</f>
        <v>3012919.54433228</v>
      </c>
      <c r="E75" s="92" t="n">
        <f aca="false">$P$4-J74</f>
        <v>-584.608938313768</v>
      </c>
      <c r="F75" s="92" t="n">
        <f aca="false">IF(ISNUMBER(Übersicht!I30),(D75+E75)*(1+Übersicht!I30),(D75+E75)*(1+$P$5))</f>
        <v>3193075.0315176</v>
      </c>
      <c r="G75" s="92" t="n">
        <f aca="false">F75-(E75+D75)</f>
        <v>180740.096123638</v>
      </c>
      <c r="H75" s="92" t="n">
        <f aca="false">IF(G75&gt;0,(D75+E75)*$P$8*0.7,0)</f>
        <v>18345.1197565493</v>
      </c>
      <c r="I75" s="92" t="n">
        <f aca="false">IF(G75&gt;0,MIN(G75,H75),0)</f>
        <v>18345.1197565493</v>
      </c>
      <c r="J75" s="92" t="n">
        <f aca="false">IF(I75*$P$9&gt;$P$10,(I75*$P$9-$P$10)*$P$7,0)</f>
        <v>3175.7039850529</v>
      </c>
      <c r="K75" s="112" t="n">
        <f aca="false">K74+I75</f>
        <v>310087.599087426</v>
      </c>
    </row>
    <row r="76" customFormat="false" ht="15" hidden="false" customHeight="false" outlineLevel="0" collapsed="false">
      <c r="A76" s="110" t="n">
        <v>74</v>
      </c>
      <c r="B76" s="111" t="n">
        <f aca="false">IF(Übersicht!$C$13&gt;=A76,-Übersicht!$C$6,IF(A76=Übersicht!$C$13+1,Übersicht!$G$9,0))</f>
        <v>0</v>
      </c>
      <c r="C76" s="92" t="n">
        <f aca="false">C75+E76</f>
        <v>137249.09021801</v>
      </c>
      <c r="D76" s="92" t="n">
        <f aca="false">F75</f>
        <v>3193075.0315176</v>
      </c>
      <c r="E76" s="92" t="n">
        <f aca="false">$P$4-J75</f>
        <v>-775.703985052905</v>
      </c>
      <c r="F76" s="92" t="n">
        <f aca="false">IF(ISNUMBER(Übersicht!I31),(D76+E76)*(1+Übersicht!I31),(D76+E76)*(1+$P$5))</f>
        <v>3383837.2871845</v>
      </c>
      <c r="G76" s="92" t="n">
        <f aca="false">F76-(E76+D76)</f>
        <v>191537.959651953</v>
      </c>
      <c r="H76" s="92" t="n">
        <f aca="false">IF(G76&gt;0,(D76+E76)*$P$8*0.7,0)</f>
        <v>19441.1029046732</v>
      </c>
      <c r="I76" s="92" t="n">
        <f aca="false">IF(G76&gt;0,MIN(G76,H76),0)</f>
        <v>19441.1029046732</v>
      </c>
      <c r="J76" s="92" t="n">
        <f aca="false">IF(I76*$P$9&gt;$P$10,(I76*$P$9-$P$10)*$P$7,0)</f>
        <v>3378.04987377529</v>
      </c>
      <c r="K76" s="112" t="n">
        <f aca="false">K75+I76</f>
        <v>329528.701992099</v>
      </c>
    </row>
    <row r="77" customFormat="false" ht="15" hidden="false" customHeight="false" outlineLevel="0" collapsed="false">
      <c r="A77" s="110" t="n">
        <v>75</v>
      </c>
      <c r="B77" s="111" t="n">
        <f aca="false">IF(Übersicht!$C$13&gt;=A77,-Übersicht!$C$6,IF(A77=Übersicht!$C$13+1,Übersicht!$G$9,0))</f>
        <v>0</v>
      </c>
      <c r="C77" s="92" t="n">
        <f aca="false">C76+E77</f>
        <v>136271.040344235</v>
      </c>
      <c r="D77" s="92" t="n">
        <f aca="false">F76</f>
        <v>3383837.2871845</v>
      </c>
      <c r="E77" s="92" t="n">
        <f aca="false">$P$4-J76</f>
        <v>-978.049873775295</v>
      </c>
      <c r="F77" s="92" t="n">
        <f aca="false">IF(ISNUMBER(Übersicht!I32),(D77+E77)*(1+Übersicht!I32),(D77+E77)*(1+$P$5))</f>
        <v>3585830.79154937</v>
      </c>
      <c r="G77" s="92" t="n">
        <f aca="false">F77-(E77+D77)</f>
        <v>202971.554238644</v>
      </c>
      <c r="H77" s="92" t="n">
        <f aca="false">IF(G77&gt;0,(D77+E77)*$P$8*0.7,0)</f>
        <v>20601.6127552223</v>
      </c>
      <c r="I77" s="92" t="n">
        <f aca="false">IF(G77&gt;0,MIN(G77,H77),0)</f>
        <v>20601.6127552223</v>
      </c>
      <c r="J77" s="92" t="n">
        <f aca="false">IF(I77*$P$9&gt;$P$10,(I77*$P$9-$P$10)*$P$7,0)</f>
        <v>3592.30900493292</v>
      </c>
      <c r="K77" s="112" t="n">
        <f aca="false">K76+I77</f>
        <v>350130.314747321</v>
      </c>
    </row>
    <row r="78" customFormat="false" ht="15" hidden="false" customHeight="false" outlineLevel="0" collapsed="false">
      <c r="A78" s="110" t="n">
        <v>76</v>
      </c>
      <c r="B78" s="111" t="n">
        <f aca="false">IF(Übersicht!$C$13&gt;=A78,-Übersicht!$C$6,IF(A78=Übersicht!$C$13+1,Übersicht!$G$9,0))</f>
        <v>0</v>
      </c>
      <c r="C78" s="92" t="n">
        <f aca="false">C77+E78</f>
        <v>135078.731339302</v>
      </c>
      <c r="D78" s="92" t="n">
        <f aca="false">F77</f>
        <v>3585830.79154937</v>
      </c>
      <c r="E78" s="92" t="n">
        <f aca="false">$P$4-J77</f>
        <v>-1192.30900493292</v>
      </c>
      <c r="F78" s="92" t="n">
        <f aca="false">IF(ISNUMBER(Übersicht!I33),(D78+E78)*(1+Übersicht!I33),(D78+E78)*(1+$P$5))</f>
        <v>3799716.79149711</v>
      </c>
      <c r="G78" s="92" t="n">
        <f aca="false">F78-(E78+D78)</f>
        <v>215078.308952666</v>
      </c>
      <c r="H78" s="92" t="n">
        <f aca="false">IF(G78&gt;0,(D78+E78)*$P$8*0.7,0)</f>
        <v>21830.4483586956</v>
      </c>
      <c r="I78" s="92" t="n">
        <f aca="false">IF(G78&gt;0,MIN(G78,H78),0)</f>
        <v>21830.4483586956</v>
      </c>
      <c r="J78" s="92" t="n">
        <f aca="false">IF(I78*$P$9&gt;$P$10,(I78*$P$9-$P$10)*$P$7,0)</f>
        <v>3819.18277822418</v>
      </c>
      <c r="K78" s="112" t="n">
        <f aca="false">K77+I78</f>
        <v>371960.763106017</v>
      </c>
    </row>
    <row r="79" customFormat="false" ht="15" hidden="false" customHeight="false" outlineLevel="0" collapsed="false">
      <c r="A79" s="110" t="n">
        <v>77</v>
      </c>
      <c r="B79" s="111" t="n">
        <f aca="false">IF(Übersicht!$C$13&gt;=A79,-Übersicht!$C$6,IF(A79=Übersicht!$C$13+1,Übersicht!$G$9,0))</f>
        <v>0</v>
      </c>
      <c r="C79" s="92" t="n">
        <f aca="false">C78+E79</f>
        <v>133659.548561078</v>
      </c>
      <c r="D79" s="92" t="n">
        <f aca="false">F78</f>
        <v>3799716.79149711</v>
      </c>
      <c r="E79" s="92" t="n">
        <f aca="false">$P$4-J78</f>
        <v>-1419.18277822418</v>
      </c>
      <c r="F79" s="92" t="n">
        <f aca="false">IF(ISNUMBER(Übersicht!I34),(D79+E79)*(1+Übersicht!I34),(D79+E79)*(1+$P$5))</f>
        <v>4026195.46524202</v>
      </c>
      <c r="G79" s="92" t="n">
        <f aca="false">F79-(E79+D79)</f>
        <v>227897.856523133</v>
      </c>
      <c r="H79" s="92" t="n">
        <f aca="false">IF(G79&gt;0,(D79+E79)*$P$8*0.7,0)</f>
        <v>23131.632437098</v>
      </c>
      <c r="I79" s="92" t="n">
        <f aca="false">IF(G79&gt;0,MIN(G79,H79),0)</f>
        <v>23131.632437098</v>
      </c>
      <c r="J79" s="92" t="n">
        <f aca="false">IF(I79*$P$9&gt;$P$10,(I79*$P$9-$P$10)*$P$7,0)</f>
        <v>4059.41388869922</v>
      </c>
      <c r="K79" s="112" t="n">
        <f aca="false">K78+I79</f>
        <v>395092.395543115</v>
      </c>
    </row>
    <row r="80" customFormat="false" ht="15" hidden="false" customHeight="false" outlineLevel="0" collapsed="false">
      <c r="A80" s="110" t="n">
        <v>78</v>
      </c>
      <c r="B80" s="111" t="n">
        <f aca="false">IF(Übersicht!$C$13&gt;=A80,-Übersicht!$C$6,IF(A80=Übersicht!$C$13+1,Übersicht!$G$9,0))</f>
        <v>0</v>
      </c>
      <c r="C80" s="92" t="n">
        <f aca="false">C79+E80</f>
        <v>132000.134672378</v>
      </c>
      <c r="D80" s="92" t="n">
        <f aca="false">F79</f>
        <v>4026195.46524202</v>
      </c>
      <c r="E80" s="92" t="n">
        <f aca="false">$P$4-J79</f>
        <v>-1659.41388869921</v>
      </c>
      <c r="F80" s="92" t="n">
        <f aca="false">IF(ISNUMBER(Übersicht!I35),(D80+E80)*(1+Übersicht!I35),(D80+E80)*(1+$P$5))</f>
        <v>4266008.21443452</v>
      </c>
      <c r="G80" s="92" t="n">
        <f aca="false">F80-(E80+D80)</f>
        <v>241472.163081199</v>
      </c>
      <c r="H80" s="92" t="n">
        <f aca="false">IF(G80&gt;0,(D80+E80)*$P$8*0.7,0)</f>
        <v>24509.4245527417</v>
      </c>
      <c r="I80" s="92" t="n">
        <f aca="false">IF(G80&gt;0,MIN(G80,H80),0)</f>
        <v>24509.4245527417</v>
      </c>
      <c r="J80" s="92" t="n">
        <f aca="false">IF(I80*$P$9&gt;$P$10,(I80*$P$9-$P$10)*$P$7,0)</f>
        <v>4313.78875804993</v>
      </c>
      <c r="K80" s="112" t="n">
        <f aca="false">K79+I80</f>
        <v>419601.820095857</v>
      </c>
    </row>
    <row r="81" customFormat="false" ht="15" hidden="false" customHeight="false" outlineLevel="0" collapsed="false">
      <c r="A81" s="110" t="n">
        <v>79</v>
      </c>
      <c r="B81" s="111" t="n">
        <f aca="false">IF(Übersicht!$C$13&gt;=A81,-Übersicht!$C$6,IF(A81=Übersicht!$C$13+1,Übersicht!$G$9,0))</f>
        <v>0</v>
      </c>
      <c r="C81" s="92" t="n">
        <f aca="false">C80+E81</f>
        <v>130086.345914328</v>
      </c>
      <c r="D81" s="92" t="n">
        <f aca="false">F80</f>
        <v>4266008.21443452</v>
      </c>
      <c r="E81" s="92" t="n">
        <f aca="false">$P$4-J80</f>
        <v>-1913.78875804993</v>
      </c>
      <c r="F81" s="92" t="n">
        <f aca="false">IF(ISNUMBER(Übersicht!I36),(D81+E81)*(1+Übersicht!I36),(D81+E81)*(1+$P$5))</f>
        <v>4519940.09121705</v>
      </c>
      <c r="G81" s="92" t="n">
        <f aca="false">F81-(E81+D81)</f>
        <v>255845.665540588</v>
      </c>
      <c r="H81" s="92" t="n">
        <f aca="false">IF(G81&gt;0,(D81+E81)*$P$8*0.7,0)</f>
        <v>25968.3350523697</v>
      </c>
      <c r="I81" s="92" t="n">
        <f aca="false">IF(G81&gt;0,MIN(G81,H81),0)</f>
        <v>25968.3350523697</v>
      </c>
      <c r="J81" s="92" t="n">
        <f aca="false">IF(I81*$P$9&gt;$P$10,(I81*$P$9-$P$10)*$P$7,0)</f>
        <v>4583.14010904375</v>
      </c>
      <c r="K81" s="112" t="n">
        <f aca="false">K80+I81</f>
        <v>445570.155148226</v>
      </c>
    </row>
    <row r="82" customFormat="false" ht="15" hidden="false" customHeight="false" outlineLevel="0" collapsed="false">
      <c r="A82" s="110" t="n">
        <v>80</v>
      </c>
      <c r="B82" s="111" t="n">
        <f aca="false">IF(Übersicht!$C$13&gt;=A82,-Übersicht!$C$6,IF(A82=Übersicht!$C$13+1,Übersicht!$G$9,0))</f>
        <v>0</v>
      </c>
      <c r="C82" s="92" t="n">
        <f aca="false">C81+E82</f>
        <v>127903.205805285</v>
      </c>
      <c r="D82" s="92" t="n">
        <f aca="false">F81</f>
        <v>4519940.09121705</v>
      </c>
      <c r="E82" s="92" t="n">
        <f aca="false">$P$4-J81</f>
        <v>-2183.14010904375</v>
      </c>
      <c r="F82" s="92" t="n">
        <f aca="false">IF(ISNUMBER(Übersicht!I37),(D82+E82)*(1+Übersicht!I37),(D82+E82)*(1+$P$5))</f>
        <v>4788822.36817449</v>
      </c>
      <c r="G82" s="92" t="n">
        <f aca="false">F82-(E82+D82)</f>
        <v>271065.417066481</v>
      </c>
      <c r="H82" s="92" t="n">
        <f aca="false">IF(G82&gt;0,(D82+E82)*$P$8*0.7,0)</f>
        <v>27513.1398322478</v>
      </c>
      <c r="I82" s="92" t="n">
        <f aca="false">IF(G82&gt;0,MIN(G82,H82),0)</f>
        <v>27513.1398322478</v>
      </c>
      <c r="J82" s="92" t="n">
        <f aca="false">IF(I82*$P$9&gt;$P$10,(I82*$P$9-$P$10)*$P$7,0)</f>
        <v>4868.34969152874</v>
      </c>
      <c r="K82" s="112" t="n">
        <f aca="false">K81+I82</f>
        <v>473083.294980474</v>
      </c>
    </row>
    <row r="83" customFormat="false" ht="15" hidden="false" customHeight="false" outlineLevel="0" collapsed="false">
      <c r="A83" s="110" t="n">
        <v>81</v>
      </c>
      <c r="B83" s="111" t="n">
        <f aca="false">IF(Übersicht!$C$13&gt;=A83,-Übersicht!$C$6,IF(A83=Übersicht!$C$13+1,Übersicht!$G$9,0))</f>
        <v>0</v>
      </c>
      <c r="C83" s="92" t="n">
        <f aca="false">C82+E83</f>
        <v>125434.856113756</v>
      </c>
      <c r="D83" s="92" t="n">
        <f aca="false">F82</f>
        <v>4788822.36817449</v>
      </c>
      <c r="E83" s="92" t="n">
        <f aca="false">$P$4-J82</f>
        <v>-2468.34969152874</v>
      </c>
      <c r="F83" s="92" t="n">
        <f aca="false">IF(ISNUMBER(Übersicht!K18),(D83+E83)*(1+Übersicht!K18),(D83+E83)*(1+$P$5))</f>
        <v>5073535.25959194</v>
      </c>
      <c r="G83" s="92" t="n">
        <f aca="false">F83-(E83+D83)</f>
        <v>287181.241108978</v>
      </c>
      <c r="H83" s="92" t="n">
        <f aca="false">IF(G83&gt;0,(D83+E83)*$P$8*0.7,0)</f>
        <v>29148.8959725612</v>
      </c>
      <c r="I83" s="92" t="n">
        <f aca="false">IF(G83&gt;0,MIN(G83,H83),0)</f>
        <v>29148.8959725612</v>
      </c>
      <c r="J83" s="92" t="n">
        <f aca="false">IF(I83*$P$9&gt;$P$10,(I83*$P$9-$P$10)*$P$7,0)</f>
        <v>5170.35116893412</v>
      </c>
      <c r="K83" s="112" t="n">
        <f aca="false">K82+I83</f>
        <v>502232.190953035</v>
      </c>
    </row>
    <row r="84" customFormat="false" ht="15" hidden="false" customHeight="false" outlineLevel="0" collapsed="false">
      <c r="A84" s="110" t="n">
        <v>82</v>
      </c>
      <c r="B84" s="111" t="n">
        <f aca="false">IF(Übersicht!$C$13&gt;=A84,-Übersicht!$C$6,IF(A84=Übersicht!$C$13+1,Übersicht!$G$9,0))</f>
        <v>0</v>
      </c>
      <c r="C84" s="92" t="n">
        <f aca="false">C83+E84</f>
        <v>122664.504944822</v>
      </c>
      <c r="D84" s="92" t="n">
        <f aca="false">F83</f>
        <v>5073535.25959194</v>
      </c>
      <c r="E84" s="92" t="n">
        <f aca="false">$P$4-J83</f>
        <v>-2770.35116893412</v>
      </c>
      <c r="F84" s="92" t="n">
        <f aca="false">IF(ISNUMBER(Übersicht!K19),(D84+E84)*(1+Übersicht!K19),(D84+E84)*(1+$P$5))</f>
        <v>5375010.80292839</v>
      </c>
      <c r="G84" s="92" t="n">
        <f aca="false">F84-(E84+D84)</f>
        <v>304245.894505381</v>
      </c>
      <c r="H84" s="92" t="n">
        <f aca="false">IF(G84&gt;0,(D84+E84)*$P$8*0.7,0)</f>
        <v>30880.9582922961</v>
      </c>
      <c r="I84" s="92" t="n">
        <f aca="false">IF(G84&gt;0,MIN(G84,H84),0)</f>
        <v>30880.9582922961</v>
      </c>
      <c r="J84" s="92" t="n">
        <f aca="false">IF(I84*$P$9&gt;$P$10,(I84*$P$9-$P$10)*$P$7,0)</f>
        <v>5490.13317471517</v>
      </c>
      <c r="K84" s="112" t="n">
        <f aca="false">K83+I84</f>
        <v>533113.149245331</v>
      </c>
    </row>
    <row r="85" customFormat="false" ht="15" hidden="false" customHeight="false" outlineLevel="0" collapsed="false">
      <c r="A85" s="110" t="n">
        <v>83</v>
      </c>
      <c r="B85" s="111" t="n">
        <f aca="false">IF(Übersicht!$C$13&gt;=A85,-Übersicht!$C$6,IF(A85=Übersicht!$C$13+1,Übersicht!$G$9,0))</f>
        <v>0</v>
      </c>
      <c r="C85" s="92" t="n">
        <f aca="false">C84+E85</f>
        <v>119574.371770107</v>
      </c>
      <c r="D85" s="92" t="n">
        <f aca="false">F84</f>
        <v>5375010.80292839</v>
      </c>
      <c r="E85" s="92" t="n">
        <f aca="false">$P$4-J84</f>
        <v>-3090.13317471517</v>
      </c>
      <c r="F85" s="92" t="n">
        <f aca="false">IF(ISNUMBER(Übersicht!K20),(D85+E85)*(1+Übersicht!K20),(D85+E85)*(1+$P$5))</f>
        <v>5694235.90993889</v>
      </c>
      <c r="G85" s="92" t="n">
        <f aca="false">F85-(E85+D85)</f>
        <v>322315.240185221</v>
      </c>
      <c r="H85" s="92" t="n">
        <f aca="false">IF(G85&gt;0,(D85+E85)*$P$8*0.7,0)</f>
        <v>32714.9968787999</v>
      </c>
      <c r="I85" s="92" t="n">
        <f aca="false">IF(G85&gt;0,MIN(G85,H85),0)</f>
        <v>32714.9968787999</v>
      </c>
      <c r="J85" s="92" t="n">
        <f aca="false">IF(I85*$P$9&gt;$P$10,(I85*$P$9-$P$10)*$P$7,0)</f>
        <v>5828.74254874842</v>
      </c>
      <c r="K85" s="112" t="n">
        <f aca="false">K84+I85</f>
        <v>565828.146124131</v>
      </c>
    </row>
    <row r="86" customFormat="false" ht="15" hidden="false" customHeight="false" outlineLevel="0" collapsed="false">
      <c r="A86" s="110" t="n">
        <v>84</v>
      </c>
      <c r="B86" s="111" t="n">
        <f aca="false">IF(Übersicht!$C$13&gt;=A86,-Übersicht!$C$6,IF(A86=Übersicht!$C$13+1,Übersicht!$G$9,0))</f>
        <v>0</v>
      </c>
      <c r="C86" s="92" t="n">
        <f aca="false">C85+E86</f>
        <v>116145.629221358</v>
      </c>
      <c r="D86" s="92" t="n">
        <f aca="false">F85</f>
        <v>5694235.90993889</v>
      </c>
      <c r="E86" s="92" t="n">
        <f aca="false">$P$4-J85</f>
        <v>-3428.74254874842</v>
      </c>
      <c r="F86" s="92" t="n">
        <f aca="false">IF(ISNUMBER(Übersicht!K21),(D86+E86)*(1+Übersicht!K21),(D86+E86)*(1+$P$5))</f>
        <v>6032255.59743355</v>
      </c>
      <c r="G86" s="92" t="n">
        <f aca="false">F86-(E86+D86)</f>
        <v>341448.430043409</v>
      </c>
      <c r="H86" s="92" t="n">
        <f aca="false">IF(G86&gt;0,(D86+E86)*$P$8*0.7,0)</f>
        <v>34657.015649406</v>
      </c>
      <c r="I86" s="92" t="n">
        <f aca="false">IF(G86&gt;0,MIN(G86,H86),0)</f>
        <v>34657.015649406</v>
      </c>
      <c r="J86" s="92" t="n">
        <f aca="false">IF(I86*$P$9&gt;$P$10,(I86*$P$9-$P$10)*$P$7,0)</f>
        <v>6187.28776427157</v>
      </c>
      <c r="K86" s="112" t="n">
        <f aca="false">K85+I86</f>
        <v>600485.161773537</v>
      </c>
    </row>
    <row r="87" customFormat="false" ht="15" hidden="false" customHeight="false" outlineLevel="0" collapsed="false">
      <c r="A87" s="110" t="n">
        <v>85</v>
      </c>
      <c r="B87" s="111" t="n">
        <f aca="false">IF(Übersicht!$C$13&gt;=A87,-Übersicht!$C$6,IF(A87=Übersicht!$C$13+1,Übersicht!$G$9,0))</f>
        <v>0</v>
      </c>
      <c r="C87" s="92" t="n">
        <f aca="false">C86+E87</f>
        <v>112358.341457087</v>
      </c>
      <c r="D87" s="92" t="n">
        <f aca="false">F86</f>
        <v>6032255.59743355</v>
      </c>
      <c r="E87" s="92" t="n">
        <f aca="false">$P$4-J86</f>
        <v>-3787.28776427157</v>
      </c>
      <c r="F87" s="92" t="n">
        <f aca="false">IF(ISNUMBER(Übersicht!K22),(D87+E87)*(1+Übersicht!K22),(D87+E87)*(1+$P$5))</f>
        <v>6390176.40824944</v>
      </c>
      <c r="G87" s="92" t="n">
        <f aca="false">F87-(E87+D87)</f>
        <v>361708.098580157</v>
      </c>
      <c r="H87" s="92" t="n">
        <f aca="false">IF(G87&gt;0,(D87+E87)*$P$8*0.7,0)</f>
        <v>36713.3720058859</v>
      </c>
      <c r="I87" s="92" t="n">
        <f aca="false">IF(G87&gt;0,MIN(G87,H87),0)</f>
        <v>36713.3720058859</v>
      </c>
      <c r="J87" s="92" t="n">
        <f aca="false">IF(I87*$P$9&gt;$P$10,(I87*$P$9-$P$10)*$P$7,0)</f>
        <v>6566.94255658669</v>
      </c>
      <c r="K87" s="112" t="n">
        <f aca="false">K86+I87</f>
        <v>637198.533779423</v>
      </c>
    </row>
    <row r="88" customFormat="false" ht="15" hidden="false" customHeight="false" outlineLevel="0" collapsed="false">
      <c r="A88" s="110" t="n">
        <v>86</v>
      </c>
      <c r="B88" s="111" t="n">
        <f aca="false">IF(Übersicht!$C$13&gt;=A88,-Übersicht!$C$6,IF(A88=Übersicht!$C$13+1,Übersicht!$G$9,0))</f>
        <v>0</v>
      </c>
      <c r="C88" s="92" t="n">
        <f aca="false">C87+E88</f>
        <v>108191.3989005</v>
      </c>
      <c r="D88" s="92" t="n">
        <f aca="false">F87</f>
        <v>6390176.40824944</v>
      </c>
      <c r="E88" s="92" t="n">
        <f aca="false">$P$4-J87</f>
        <v>-4166.94255658669</v>
      </c>
      <c r="F88" s="92" t="n">
        <f aca="false">IF(ISNUMBER(Übersicht!K23),(D88+E88)*(1+Übersicht!K23),(D88+E88)*(1+$P$5))</f>
        <v>6769170.03363442</v>
      </c>
      <c r="G88" s="92" t="n">
        <f aca="false">F88-(E88+D88)</f>
        <v>383160.567941572</v>
      </c>
      <c r="H88" s="92" t="n">
        <f aca="false">IF(G88&gt;0,(D88+E88)*$P$8*0.7,0)</f>
        <v>38890.7976460695</v>
      </c>
      <c r="I88" s="92" t="n">
        <f aca="false">IF(G88&gt;0,MIN(G88,H88),0)</f>
        <v>38890.7976460695</v>
      </c>
      <c r="J88" s="92" t="n">
        <f aca="false">IF(I88*$P$9&gt;$P$10,(I88*$P$9-$P$10)*$P$7,0)</f>
        <v>6968.94976540557</v>
      </c>
      <c r="K88" s="112" t="n">
        <f aca="false">K87+I88</f>
        <v>676089.331425493</v>
      </c>
    </row>
    <row r="89" customFormat="false" ht="15" hidden="false" customHeight="false" outlineLevel="0" collapsed="false">
      <c r="A89" s="110" t="n">
        <v>87</v>
      </c>
      <c r="B89" s="111" t="n">
        <f aca="false">IF(Übersicht!$C$13&gt;=A89,-Übersicht!$C$6,IF(A89=Übersicht!$C$13+1,Übersicht!$G$9,0))</f>
        <v>0</v>
      </c>
      <c r="C89" s="92" t="n">
        <f aca="false">C88+E89</f>
        <v>103622.449135094</v>
      </c>
      <c r="D89" s="92" t="n">
        <f aca="false">F88</f>
        <v>6769170.03363442</v>
      </c>
      <c r="E89" s="92" t="n">
        <f aca="false">$P$4-J88</f>
        <v>-4568.94976540557</v>
      </c>
      <c r="F89" s="92" t="n">
        <f aca="false">IF(ISNUMBER(Übersicht!K24),(D89+E89)*(1+Übersicht!K24),(D89+E89)*(1+$P$5))</f>
        <v>7170477.14890116</v>
      </c>
      <c r="G89" s="92" t="n">
        <f aca="false">F89-(E89+D89)</f>
        <v>405876.065032141</v>
      </c>
      <c r="H89" s="92" t="n">
        <f aca="false">IF(G89&gt;0,(D89+E89)*$P$8*0.7,0)</f>
        <v>41196.4206007623</v>
      </c>
      <c r="I89" s="92" t="n">
        <f aca="false">IF(G89&gt;0,MIN(G89,H89),0)</f>
        <v>41196.4206007623</v>
      </c>
      <c r="J89" s="92" t="n">
        <f aca="false">IF(I89*$P$9&gt;$P$10,(I89*$P$9-$P$10)*$P$7,0)</f>
        <v>7394.62540341574</v>
      </c>
      <c r="K89" s="112" t="n">
        <f aca="false">K88+I89</f>
        <v>717285.752026255</v>
      </c>
    </row>
    <row r="90" customFormat="false" ht="15" hidden="false" customHeight="false" outlineLevel="0" collapsed="false">
      <c r="A90" s="110" t="n">
        <v>88</v>
      </c>
      <c r="B90" s="111" t="n">
        <f aca="false">IF(Übersicht!$C$13&gt;=A90,-Übersicht!$C$6,IF(A90=Übersicht!$C$13+1,Übersicht!$G$9,0))</f>
        <v>0</v>
      </c>
      <c r="C90" s="92" t="n">
        <f aca="false">C89+E90</f>
        <v>98627.8237316787</v>
      </c>
      <c r="D90" s="92" t="n">
        <f aca="false">F89</f>
        <v>7170477.14890116</v>
      </c>
      <c r="E90" s="92" t="n">
        <f aca="false">$P$4-J89</f>
        <v>-4994.62540341574</v>
      </c>
      <c r="F90" s="92" t="n">
        <f aca="false">IF(ISNUMBER(Übersicht!K25),(D90+E90)*(1+Übersicht!K25),(D90+E90)*(1+$P$5))</f>
        <v>7595411.47490761</v>
      </c>
      <c r="G90" s="92" t="n">
        <f aca="false">F90-(E90+D90)</f>
        <v>429928.951409865</v>
      </c>
      <c r="H90" s="92" t="n">
        <f aca="false">IF(G90&gt;0,(D90+E90)*$P$8*0.7,0)</f>
        <v>43637.7885681012</v>
      </c>
      <c r="I90" s="92" t="n">
        <f aca="false">IF(G90&gt;0,MIN(G90,H90),0)</f>
        <v>43637.7885681012</v>
      </c>
      <c r="J90" s="92" t="n">
        <f aca="false">IF(I90*$P$9&gt;$P$10,(I90*$P$9-$P$10)*$P$7,0)</f>
        <v>7845.36296438569</v>
      </c>
      <c r="K90" s="112" t="n">
        <f aca="false">K89+I90</f>
        <v>760923.540594356</v>
      </c>
    </row>
    <row r="91" customFormat="false" ht="15" hidden="false" customHeight="false" outlineLevel="0" collapsed="false">
      <c r="A91" s="110" t="n">
        <v>89</v>
      </c>
      <c r="B91" s="111" t="n">
        <f aca="false">IF(Übersicht!$C$13&gt;=A91,-Übersicht!$C$6,IF(A91=Übersicht!$C$13+1,Übersicht!$G$9,0))</f>
        <v>0</v>
      </c>
      <c r="C91" s="92" t="n">
        <f aca="false">C90+E91</f>
        <v>93182.460767293</v>
      </c>
      <c r="D91" s="92" t="n">
        <f aca="false">F90</f>
        <v>7595411.47490761</v>
      </c>
      <c r="E91" s="92" t="n">
        <f aca="false">$P$4-J90</f>
        <v>-5445.36296438569</v>
      </c>
      <c r="F91" s="92" t="n">
        <f aca="false">IF(ISNUMBER(Übersicht!K26),(D91+E91)*(1+Übersicht!K26),(D91+E91)*(1+$P$5))</f>
        <v>8045364.07865981</v>
      </c>
      <c r="G91" s="92" t="n">
        <f aca="false">F91-(E91+D91)</f>
        <v>455397.966716594</v>
      </c>
      <c r="H91" s="92" t="n">
        <f aca="false">IF(G91&gt;0,(D91+E91)*$P$8*0.7,0)</f>
        <v>46222.8936217342</v>
      </c>
      <c r="I91" s="92" t="n">
        <f aca="false">IF(G91&gt;0,MIN(G91,H91),0)</f>
        <v>46222.8936217342</v>
      </c>
      <c r="J91" s="92" t="n">
        <f aca="false">IF(I91*$P$9&gt;$P$10,(I91*$P$9-$P$10)*$P$7,0)</f>
        <v>8322.63798491268</v>
      </c>
      <c r="K91" s="112" t="n">
        <f aca="false">K90+I91</f>
        <v>807146.434216091</v>
      </c>
    </row>
    <row r="92" customFormat="false" ht="15" hidden="false" customHeight="false" outlineLevel="0" collapsed="false">
      <c r="A92" s="110" t="n">
        <v>90</v>
      </c>
      <c r="B92" s="111" t="n">
        <f aca="false">IF(Übersicht!$C$13&gt;=A92,-Übersicht!$C$6,IF(A92=Übersicht!$C$13+1,Übersicht!$G$9,0))</f>
        <v>0</v>
      </c>
      <c r="C92" s="92" t="n">
        <f aca="false">C91+E92</f>
        <v>87259.8227823804</v>
      </c>
      <c r="D92" s="92" t="n">
        <f aca="false">F91</f>
        <v>8045364.07865981</v>
      </c>
      <c r="E92" s="92" t="n">
        <f aca="false">$P$4-J91</f>
        <v>-5922.63798491268</v>
      </c>
      <c r="F92" s="92" t="n">
        <f aca="false">IF(ISNUMBER(Übersicht!K27),(D92+E92)*(1+Übersicht!K27),(D92+E92)*(1+$P$5))</f>
        <v>8521807.9271154</v>
      </c>
      <c r="G92" s="92" t="n">
        <f aca="false">F92-(E92+D92)</f>
        <v>482366.486440494</v>
      </c>
      <c r="H92" s="92" t="n">
        <f aca="false">IF(G92&gt;0,(D92+E92)*$P$8*0.7,0)</f>
        <v>48960.1983737102</v>
      </c>
      <c r="I92" s="92" t="n">
        <f aca="false">IF(G92&gt;0,MIN(G92,H92),0)</f>
        <v>48960.1983737102</v>
      </c>
      <c r="J92" s="92" t="n">
        <f aca="false">IF(I92*$P$9&gt;$P$10,(I92*$P$9-$P$10)*$P$7,0)</f>
        <v>8828.01287474624</v>
      </c>
      <c r="K92" s="112" t="n">
        <f aca="false">K91+I92</f>
        <v>856106.632589801</v>
      </c>
    </row>
    <row r="93" customFormat="false" ht="15" hidden="false" customHeight="false" outlineLevel="0" collapsed="false">
      <c r="A93" s="110" t="n">
        <v>91</v>
      </c>
      <c r="B93" s="111" t="n">
        <f aca="false">IF(Übersicht!$C$13&gt;=A93,-Übersicht!$C$6,IF(A93=Übersicht!$C$13+1,Übersicht!$G$9,0))</f>
        <v>0</v>
      </c>
      <c r="C93" s="92" t="n">
        <f aca="false">C92+E93</f>
        <v>80831.8099076341</v>
      </c>
      <c r="D93" s="92" t="n">
        <f aca="false">F92</f>
        <v>8521807.9271154</v>
      </c>
      <c r="E93" s="92" t="n">
        <f aca="false">$P$4-J92</f>
        <v>-6428.01287474624</v>
      </c>
      <c r="F93" s="92" t="n">
        <f aca="false">IF(ISNUMBER(Übersicht!K28),(D93+E93)*(1+Übersicht!K28),(D93+E93)*(1+$P$5))</f>
        <v>9026302.70909509</v>
      </c>
      <c r="G93" s="92" t="n">
        <f aca="false">F93-(E93+D93)</f>
        <v>510922.79485444</v>
      </c>
      <c r="H93" s="92" t="n">
        <f aca="false">IF(G93&gt;0,(D93+E93)*$P$8*0.7,0)</f>
        <v>51858.6636777255</v>
      </c>
      <c r="I93" s="92" t="n">
        <f aca="false">IF(G93&gt;0,MIN(G93,H93),0)</f>
        <v>51858.6636777255</v>
      </c>
      <c r="J93" s="92" t="n">
        <f aca="false">IF(I93*$P$9&gt;$P$10,(I93*$P$9-$P$10)*$P$7,0)</f>
        <v>9363.14203150008</v>
      </c>
      <c r="K93" s="112" t="n">
        <f aca="false">K92+I93</f>
        <v>907965.296267526</v>
      </c>
    </row>
    <row r="94" customFormat="false" ht="15" hidden="false" customHeight="false" outlineLevel="0" collapsed="false">
      <c r="A94" s="110" t="n">
        <v>92</v>
      </c>
      <c r="B94" s="111" t="n">
        <f aca="false">IF(Übersicht!$C$13&gt;=A94,-Übersicht!$C$6,IF(A94=Übersicht!$C$13+1,Übersicht!$G$9,0))</f>
        <v>0</v>
      </c>
      <c r="C94" s="92" t="n">
        <f aca="false">C93+E94</f>
        <v>73868.667876134</v>
      </c>
      <c r="D94" s="92" t="n">
        <f aca="false">F93</f>
        <v>9026302.70909509</v>
      </c>
      <c r="E94" s="92" t="n">
        <f aca="false">$P$4-J93</f>
        <v>-6963.14203150008</v>
      </c>
      <c r="F94" s="92" t="n">
        <f aca="false">IF(ISNUMBER(Übersicht!K29),(D94+E94)*(1+Übersicht!K29),(D94+E94)*(1+$P$5))</f>
        <v>9560499.9410874</v>
      </c>
      <c r="G94" s="92" t="n">
        <f aca="false">F94-(E94+D94)</f>
        <v>541160.374023816</v>
      </c>
      <c r="H94" s="92" t="n">
        <f aca="false">IF(G94&gt;0,(D94+E94)*$P$8*0.7,0)</f>
        <v>54927.7779634172</v>
      </c>
      <c r="I94" s="92" t="n">
        <f aca="false">IF(G94&gt;0,MIN(G94,H94),0)</f>
        <v>54927.7779634172</v>
      </c>
      <c r="J94" s="92" t="n">
        <f aca="false">IF(I94*$P$9&gt;$P$10,(I94*$P$9-$P$10)*$P$7,0)</f>
        <v>9929.77725649591</v>
      </c>
      <c r="K94" s="112" t="n">
        <f aca="false">K93+I94</f>
        <v>962893.074230943</v>
      </c>
    </row>
    <row r="95" customFormat="false" ht="15" hidden="false" customHeight="false" outlineLevel="0" collapsed="false">
      <c r="A95" s="110" t="n">
        <v>93</v>
      </c>
      <c r="B95" s="111" t="n">
        <f aca="false">IF(Übersicht!$C$13&gt;=A95,-Übersicht!$C$6,IF(A95=Übersicht!$C$13+1,Übersicht!$G$9,0))</f>
        <v>0</v>
      </c>
      <c r="C95" s="92" t="n">
        <f aca="false">C94+E95</f>
        <v>66338.8906196381</v>
      </c>
      <c r="D95" s="92" t="n">
        <f aca="false">F94</f>
        <v>9560499.9410874</v>
      </c>
      <c r="E95" s="92" t="n">
        <f aca="false">$P$4-J94</f>
        <v>-7529.77725649591</v>
      </c>
      <c r="F95" s="92" t="n">
        <f aca="false">IF(ISNUMBER(Übersicht!K30),(D95+E95)*(1+Übersicht!K30),(D95+E95)*(1+$P$5))</f>
        <v>10126148.3736608</v>
      </c>
      <c r="G95" s="92" t="n">
        <f aca="false">F95-(E95+D95)</f>
        <v>573178.209829856</v>
      </c>
      <c r="H95" s="92" t="n">
        <f aca="false">IF(G95&gt;0,(D95+E95)*$P$8*0.7,0)</f>
        <v>58177.5882977302</v>
      </c>
      <c r="I95" s="92" t="n">
        <f aca="false">IF(G95&gt;0,MIN(G95,H95),0)</f>
        <v>58177.5882977302</v>
      </c>
      <c r="J95" s="92" t="n">
        <f aca="false">IF(I95*$P$9&gt;$P$10,(I95*$P$9-$P$10)*$P$7,0)</f>
        <v>10529.7734894684</v>
      </c>
      <c r="K95" s="112" t="n">
        <f aca="false">K94+I95</f>
        <v>1021070.66252867</v>
      </c>
    </row>
    <row r="96" customFormat="false" ht="15" hidden="false" customHeight="false" outlineLevel="0" collapsed="false">
      <c r="A96" s="110" t="n">
        <v>94</v>
      </c>
      <c r="B96" s="111" t="n">
        <f aca="false">IF(Übersicht!$C$13&gt;=A96,-Übersicht!$C$6,IF(A96=Übersicht!$C$13+1,Übersicht!$G$9,0))</f>
        <v>0</v>
      </c>
      <c r="C96" s="92" t="n">
        <f aca="false">C95+E96</f>
        <v>58209.1171301697</v>
      </c>
      <c r="D96" s="92" t="n">
        <f aca="false">F95</f>
        <v>10126148.3736608</v>
      </c>
      <c r="E96" s="92" t="n">
        <f aca="false">$P$4-J95</f>
        <v>-8129.77348946844</v>
      </c>
      <c r="F96" s="92" t="n">
        <f aca="false">IF(ISNUMBER(Übersicht!K31),(D96+E96)*(1+Übersicht!K31),(D96+E96)*(1+$P$5))</f>
        <v>10725099.7161816</v>
      </c>
      <c r="G96" s="92" t="n">
        <f aca="false">F96-(E96+D96)</f>
        <v>607081.116010278</v>
      </c>
      <c r="H96" s="92" t="n">
        <f aca="false">IF(G96&gt;0,(D96+E96)*$P$8*0.7,0)</f>
        <v>61618.7332750432</v>
      </c>
      <c r="I96" s="92" t="n">
        <f aca="false">IF(G96&gt;0,MIN(G96,H96),0)</f>
        <v>61618.7332750432</v>
      </c>
      <c r="J96" s="92" t="n">
        <f aca="false">IF(I96*$P$9&gt;$P$10,(I96*$P$9-$P$10)*$P$7,0)</f>
        <v>11165.0948809048</v>
      </c>
      <c r="K96" s="112" t="n">
        <f aca="false">K95+I96</f>
        <v>1082689.39580372</v>
      </c>
    </row>
    <row r="97" customFormat="false" ht="15" hidden="false" customHeight="false" outlineLevel="0" collapsed="false">
      <c r="A97" s="110" t="n">
        <v>95</v>
      </c>
      <c r="B97" s="111" t="n">
        <f aca="false">IF(Übersicht!$C$13&gt;=A97,-Übersicht!$C$6,IF(A97=Übersicht!$C$13+1,Übersicht!$G$9,0))</f>
        <v>0</v>
      </c>
      <c r="C97" s="92" t="n">
        <f aca="false">C96+E97</f>
        <v>49444.0222492649</v>
      </c>
      <c r="D97" s="92" t="n">
        <f aca="false">F96</f>
        <v>10725099.7161816</v>
      </c>
      <c r="E97" s="92" t="n">
        <f aca="false">$P$4-J96</f>
        <v>-8765.09488090485</v>
      </c>
      <c r="F97" s="92" t="n">
        <f aca="false">IF(ISNUMBER(Übersicht!K32),(D97+E97)*(1+Übersicht!K32),(D97+E97)*(1+$P$5))</f>
        <v>11359314.6985787</v>
      </c>
      <c r="G97" s="92" t="n">
        <f aca="false">F97-(E97+D97)</f>
        <v>642980.07727804</v>
      </c>
      <c r="H97" s="92" t="n">
        <f aca="false">IF(G97&gt;0,(D97+E97)*$P$8*0.7,0)</f>
        <v>65262.4778437211</v>
      </c>
      <c r="I97" s="92" t="n">
        <f aca="false">IF(G97&gt;0,MIN(G97,H97),0)</f>
        <v>65262.4778437211</v>
      </c>
      <c r="J97" s="92" t="n">
        <f aca="false">IF(I97*$P$9&gt;$P$10,(I97*$P$9-$P$10)*$P$7,0)</f>
        <v>11837.821221897</v>
      </c>
      <c r="K97" s="112" t="n">
        <f aca="false">K96+I97</f>
        <v>1147951.87364744</v>
      </c>
    </row>
    <row r="98" customFormat="false" ht="15" hidden="false" customHeight="false" outlineLevel="0" collapsed="false">
      <c r="A98" s="110" t="n">
        <v>96</v>
      </c>
      <c r="B98" s="111" t="n">
        <f aca="false">IF(Übersicht!$C$13&gt;=A98,-Übersicht!$C$6,IF(A98=Übersicht!$C$13+1,Übersicht!$G$9,0))</f>
        <v>0</v>
      </c>
      <c r="C98" s="92" t="n">
        <f aca="false">C97+E98</f>
        <v>40006.2010273679</v>
      </c>
      <c r="D98" s="92" t="n">
        <f aca="false">F97</f>
        <v>11359314.6985787</v>
      </c>
      <c r="E98" s="92" t="n">
        <f aca="false">$P$4-J97</f>
        <v>-9437.821221897</v>
      </c>
      <c r="F98" s="92" t="n">
        <f aca="false">IF(ISNUMBER(Übersicht!K33),(D98+E98)*(1+Übersicht!K33),(D98+E98)*(1+$P$5))</f>
        <v>12030869.4899982</v>
      </c>
      <c r="G98" s="92" t="n">
        <f aca="false">F98-(E98+D98)</f>
        <v>680992.612641409</v>
      </c>
      <c r="H98" s="92" t="n">
        <f aca="false">IF(G98&gt;0,(D98+E98)*$P$8*0.7,0)</f>
        <v>69120.750183103</v>
      </c>
      <c r="I98" s="92" t="n">
        <f aca="false">IF(G98&gt;0,MIN(G98,H98),0)</f>
        <v>69120.750183103</v>
      </c>
      <c r="J98" s="92" t="n">
        <f aca="false">IF(I98*$P$9&gt;$P$10,(I98*$P$9-$P$10)*$P$7,0)</f>
        <v>12550.1547525554</v>
      </c>
      <c r="K98" s="112" t="n">
        <f aca="false">K97+I98</f>
        <v>1217072.62383054</v>
      </c>
    </row>
    <row r="99" customFormat="false" ht="15" hidden="false" customHeight="false" outlineLevel="0" collapsed="false">
      <c r="A99" s="110" t="n">
        <v>97</v>
      </c>
      <c r="B99" s="111" t="n">
        <f aca="false">IF(Übersicht!$C$13&gt;=A99,-Übersicht!$C$6,IF(A99=Übersicht!$C$13+1,Übersicht!$G$9,0))</f>
        <v>0</v>
      </c>
      <c r="C99" s="92" t="n">
        <f aca="false">C98+E99</f>
        <v>29856.0462748125</v>
      </c>
      <c r="D99" s="92" t="n">
        <f aca="false">F98</f>
        <v>12030869.4899982</v>
      </c>
      <c r="E99" s="92" t="n">
        <f aca="false">$P$4-J98</f>
        <v>-10150.1547525554</v>
      </c>
      <c r="F99" s="92" t="n">
        <f aca="false">IF(ISNUMBER(Übersicht!K34),(D99+E99)*(1+Übersicht!K34),(D99+E99)*(1+$P$5))</f>
        <v>12741962.4953604</v>
      </c>
      <c r="G99" s="92" t="n">
        <f aca="false">F99-(E99+D99)</f>
        <v>721243.160114741</v>
      </c>
      <c r="H99" s="92" t="n">
        <f aca="false">IF(G99&gt;0,(D99+E99)*$P$8*0.7,0)</f>
        <v>73206.1807516461</v>
      </c>
      <c r="I99" s="92" t="n">
        <f aca="false">IF(G99&gt;0,MIN(G99,H99),0)</f>
        <v>73206.1807516461</v>
      </c>
      <c r="J99" s="92" t="n">
        <f aca="false">IF(I99*$P$9&gt;$P$10,(I99*$P$9-$P$10)*$P$7,0)</f>
        <v>13304.4273712727</v>
      </c>
      <c r="K99" s="112" t="n">
        <f aca="false">K98+I99</f>
        <v>1290278.80458219</v>
      </c>
    </row>
    <row r="100" customFormat="false" ht="15" hidden="false" customHeight="false" outlineLevel="0" collapsed="false">
      <c r="A100" s="110" t="n">
        <v>98</v>
      </c>
      <c r="B100" s="111" t="n">
        <f aca="false">IF(Übersicht!$C$13&gt;=A100,-Übersicht!$C$6,IF(A100=Übersicht!$C$13+1,Übersicht!$G$9,0))</f>
        <v>0</v>
      </c>
      <c r="C100" s="92" t="n">
        <f aca="false">C99+E100</f>
        <v>18951.6189035398</v>
      </c>
      <c r="D100" s="92" t="n">
        <f aca="false">F99</f>
        <v>12741962.4953604</v>
      </c>
      <c r="E100" s="92" t="n">
        <f aca="false">$P$4-J99</f>
        <v>-10904.4273712727</v>
      </c>
      <c r="F100" s="92" t="n">
        <f aca="false">IF(ISNUMBER(Übersicht!K35),(D100+E100)*(1+Übersicht!K35),(D100+E100)*(1+$P$5))</f>
        <v>13494921.5520685</v>
      </c>
      <c r="G100" s="92" t="n">
        <f aca="false">F100-(E100+D100)</f>
        <v>763863.484079348</v>
      </c>
      <c r="H100" s="92" t="n">
        <f aca="false">IF(G100&gt;0,(D100+E100)*$P$8*0.7,0)</f>
        <v>77532.1436340538</v>
      </c>
      <c r="I100" s="92" t="n">
        <f aca="false">IF(G100&gt;0,MIN(G100,H100),0)</f>
        <v>77532.1436340538</v>
      </c>
      <c r="J100" s="92" t="n">
        <f aca="false">IF(I100*$P$9&gt;$P$10,(I100*$P$9-$P$10)*$P$7,0)</f>
        <v>14103.1082684372</v>
      </c>
      <c r="K100" s="112" t="n">
        <f aca="false">K99+I100</f>
        <v>1367810.94821624</v>
      </c>
    </row>
    <row r="101" customFormat="false" ht="15" hidden="false" customHeight="false" outlineLevel="0" collapsed="false">
      <c r="A101" s="110" t="n">
        <v>99</v>
      </c>
      <c r="B101" s="111" t="n">
        <f aca="false">IF(Übersicht!$C$13&gt;=A101,-Übersicht!$C$6,IF(A101=Übersicht!$C$13+1,Übersicht!$G$9,0))</f>
        <v>0</v>
      </c>
      <c r="C101" s="92" t="n">
        <f aca="false">C100+E101</f>
        <v>7248.51063510264</v>
      </c>
      <c r="D101" s="92" t="n">
        <f aca="false">F100</f>
        <v>13494921.5520685</v>
      </c>
      <c r="E101" s="92" t="n">
        <f aca="false">$P$4-J100</f>
        <v>-11703.1082684372</v>
      </c>
      <c r="F101" s="92" t="n">
        <f aca="false">IF(ISNUMBER(Übersicht!K36),(D101+E101)*(1+Übersicht!K36),(D101+E101)*(1+$P$5))</f>
        <v>14292211.550428</v>
      </c>
      <c r="G101" s="92" t="n">
        <f aca="false">F101-(E101+D101)</f>
        <v>808993.106628003</v>
      </c>
      <c r="H101" s="92" t="n">
        <f aca="false">IF(G101&gt;0,(D101+E101)*$P$8*0.7,0)</f>
        <v>82112.8003227422</v>
      </c>
      <c r="I101" s="92" t="n">
        <f aca="false">IF(G101&gt;0,MIN(G101,H101),0)</f>
        <v>82112.8003227422</v>
      </c>
      <c r="J101" s="92" t="n">
        <f aca="false">IF(I101*$P$9&gt;$P$10,(I101*$P$9-$P$10)*$P$7,0)</f>
        <v>14948.8120095863</v>
      </c>
      <c r="K101" s="112" t="n">
        <f aca="false">K100+I101</f>
        <v>1449923.74853898</v>
      </c>
    </row>
    <row r="102" customFormat="false" ht="15.75" hidden="false" customHeight="false" outlineLevel="0" collapsed="false">
      <c r="A102" s="117" t="n">
        <v>100</v>
      </c>
      <c r="B102" s="102" t="n">
        <f aca="false">IF(Übersicht!$C$13&gt;=A102,-Übersicht!$C$6,IF(A102=Übersicht!$C$13+1,Übersicht!$G$9,0))</f>
        <v>0</v>
      </c>
      <c r="C102" s="102" t="n">
        <f aca="false">C101+E102</f>
        <v>-5300.30137448365</v>
      </c>
      <c r="D102" s="102" t="n">
        <f aca="false">F101</f>
        <v>14292211.550428</v>
      </c>
      <c r="E102" s="102" t="n">
        <f aca="false">$P$4-J101</f>
        <v>-12548.8120095863</v>
      </c>
      <c r="F102" s="102" t="n">
        <f aca="false">IF(ISNUMBER(Übersicht!K37),(D102+E102)*(1+Übersicht!K37),(D102+E102)*(1+$P$5))</f>
        <v>15136442.5027236</v>
      </c>
      <c r="G102" s="102" t="n">
        <f aca="false">F102-(E102+D102)</f>
        <v>856779.764305109</v>
      </c>
      <c r="H102" s="102" t="n">
        <f aca="false">IF(G102&gt;0,(D102+E102)*$P$8*0.7,0)</f>
        <v>86963.1460769684</v>
      </c>
      <c r="I102" s="102" t="n">
        <f aca="false">IF(G102&gt;0,MIN(G102,H102),0)</f>
        <v>86963.1460769684</v>
      </c>
      <c r="J102" s="102" t="n">
        <f aca="false">IF(I102*$P$9&gt;$P$10,(I102*$P$9-$P$10)*$P$7,0)</f>
        <v>15844.3070944603</v>
      </c>
      <c r="K102" s="103" t="n">
        <f aca="false">K101+I102</f>
        <v>1536886.89461595</v>
      </c>
    </row>
  </sheetData>
  <conditionalFormatting sqref="E3:E102">
    <cfRule type="cellIs" priority="2" operator="lessThan" aboveAverage="0" equalAverage="0" bottom="0" percent="0" rank="0" text="" dxfId="17">
      <formula>0</formula>
    </cfRule>
  </conditionalFormatting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2019-01-17T09:49:03Z</dcterms:created>
  <dc:creator/>
  <dc:description/>
  <dc:language>de-DE</dc:language>
  <cp:lastModifiedBy/>
  <dcterms:modified xsi:type="dcterms:W3CDTF">2021-01-17T19:31:38Z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